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0" yWindow="330" windowWidth="20610" windowHeight="11640" tabRatio="500" activeTab="2"/>
  </bookViews>
  <sheets>
    <sheet name="17-18" sheetId="2" r:id="rId1"/>
    <sheet name="18-19" sheetId="4" r:id="rId2"/>
    <sheet name="Contract income" sheetId="6" r:id="rId3"/>
    <sheet name="Summary " sheetId="7" r:id="rId4"/>
  </sheets>
  <calcPr calcId="145621"/>
</workbook>
</file>

<file path=xl/calcChain.xml><?xml version="1.0" encoding="utf-8"?>
<calcChain xmlns="http://schemas.openxmlformats.org/spreadsheetml/2006/main">
  <c r="B5" i="4" l="1"/>
  <c r="C5" i="7"/>
  <c r="C20" i="7"/>
  <c r="F20" i="7" s="1"/>
  <c r="C15" i="7"/>
  <c r="C13" i="7"/>
  <c r="C12" i="7"/>
  <c r="C8" i="7"/>
  <c r="C6" i="7"/>
  <c r="N6" i="4"/>
  <c r="I53" i="2"/>
  <c r="I54" i="2" s="1"/>
  <c r="H53" i="2"/>
  <c r="H54" i="2" s="1"/>
  <c r="G53" i="2"/>
  <c r="G54" i="2" s="1"/>
  <c r="F53" i="2"/>
  <c r="F54" i="2" s="1"/>
  <c r="E53" i="2"/>
  <c r="E54" i="2" s="1"/>
  <c r="D53" i="2"/>
  <c r="D54" i="2" s="1"/>
  <c r="C53" i="2"/>
  <c r="C54" i="2" s="1"/>
  <c r="B53" i="2"/>
  <c r="B54" i="2" s="1"/>
  <c r="C50" i="2" s="1"/>
  <c r="C56" i="2" s="1"/>
  <c r="N45" i="2"/>
  <c r="I44" i="2"/>
  <c r="I46" i="2" s="1"/>
  <c r="C44" i="2"/>
  <c r="N43" i="2"/>
  <c r="N42" i="2"/>
  <c r="N41" i="2"/>
  <c r="G41" i="2"/>
  <c r="N40" i="2"/>
  <c r="M40" i="2"/>
  <c r="N39" i="2"/>
  <c r="J38" i="2"/>
  <c r="N38" i="2" s="1"/>
  <c r="G37" i="2"/>
  <c r="N37" i="2" s="1"/>
  <c r="E36" i="2"/>
  <c r="N36" i="2" s="1"/>
  <c r="N35" i="2"/>
  <c r="N34" i="2"/>
  <c r="M33" i="2"/>
  <c r="L33" i="2"/>
  <c r="K33" i="2"/>
  <c r="J33" i="2"/>
  <c r="N33" i="2" s="1"/>
  <c r="M32" i="2"/>
  <c r="L32" i="2"/>
  <c r="K32" i="2"/>
  <c r="J32" i="2"/>
  <c r="N32" i="2" s="1"/>
  <c r="N31" i="2"/>
  <c r="I30" i="2"/>
  <c r="D30" i="2"/>
  <c r="N30" i="2" s="1"/>
  <c r="M29" i="2"/>
  <c r="M44" i="2" s="1"/>
  <c r="L29" i="2"/>
  <c r="K29" i="2"/>
  <c r="N29" i="2" s="1"/>
  <c r="G28" i="2"/>
  <c r="N28" i="2" s="1"/>
  <c r="D28" i="2"/>
  <c r="M27" i="2"/>
  <c r="L27" i="2"/>
  <c r="L44" i="2" s="1"/>
  <c r="L46" i="2" s="1"/>
  <c r="K27" i="2"/>
  <c r="J27" i="2"/>
  <c r="J44" i="2" s="1"/>
  <c r="I27" i="2"/>
  <c r="H27" i="2"/>
  <c r="H44" i="2" s="1"/>
  <c r="H46" i="2" s="1"/>
  <c r="H48" i="2" s="1"/>
  <c r="G27" i="2"/>
  <c r="F27" i="2"/>
  <c r="E27" i="2"/>
  <c r="D27" i="2"/>
  <c r="D44" i="2" s="1"/>
  <c r="D46" i="2" s="1"/>
  <c r="C27" i="2"/>
  <c r="B27" i="2"/>
  <c r="N27" i="2" s="1"/>
  <c r="N26" i="2"/>
  <c r="I25" i="2"/>
  <c r="F25" i="2"/>
  <c r="F44" i="2" s="1"/>
  <c r="E25" i="2"/>
  <c r="B25" i="2"/>
  <c r="N25" i="2" s="1"/>
  <c r="I22" i="2"/>
  <c r="C22" i="2"/>
  <c r="C46" i="2" s="1"/>
  <c r="N21" i="2"/>
  <c r="M20" i="2"/>
  <c r="L20" i="2"/>
  <c r="K20" i="2"/>
  <c r="K22" i="2" s="1"/>
  <c r="J20" i="2"/>
  <c r="I20" i="2"/>
  <c r="H20" i="2"/>
  <c r="G20" i="2"/>
  <c r="E20" i="2"/>
  <c r="D20" i="2"/>
  <c r="C20" i="2"/>
  <c r="N20" i="2" s="1"/>
  <c r="L19" i="2"/>
  <c r="L22" i="2" s="1"/>
  <c r="K19" i="2"/>
  <c r="J19" i="2"/>
  <c r="J22" i="2" s="1"/>
  <c r="I19" i="2"/>
  <c r="H19" i="2"/>
  <c r="H22" i="2" s="1"/>
  <c r="G19" i="2"/>
  <c r="F19" i="2"/>
  <c r="E19" i="2"/>
  <c r="D19" i="2"/>
  <c r="D22" i="2" s="1"/>
  <c r="C19" i="2"/>
  <c r="B19" i="2"/>
  <c r="B22" i="2" s="1"/>
  <c r="G18" i="2"/>
  <c r="G22" i="2" s="1"/>
  <c r="F18" i="2"/>
  <c r="F22" i="2" s="1"/>
  <c r="E18" i="2"/>
  <c r="N18" i="2" s="1"/>
  <c r="M12" i="2"/>
  <c r="K12" i="2"/>
  <c r="I12" i="2"/>
  <c r="I48" i="2" s="1"/>
  <c r="H12" i="2"/>
  <c r="G12" i="2"/>
  <c r="E12" i="2"/>
  <c r="C12" i="2"/>
  <c r="C48" i="2" s="1"/>
  <c r="B12" i="2"/>
  <c r="N11" i="2"/>
  <c r="D10" i="2"/>
  <c r="D12" i="2" s="1"/>
  <c r="D48" i="2" s="1"/>
  <c r="N9" i="2"/>
  <c r="N8" i="2"/>
  <c r="M8" i="2"/>
  <c r="M19" i="2" s="1"/>
  <c r="M22" i="2" s="1"/>
  <c r="N7" i="2"/>
  <c r="G7" i="2"/>
  <c r="F7" i="2"/>
  <c r="F12" i="2" s="1"/>
  <c r="E7" i="2"/>
  <c r="N5" i="2"/>
  <c r="L5" i="2"/>
  <c r="L12" i="2" s="1"/>
  <c r="K5" i="2"/>
  <c r="J5" i="2"/>
  <c r="J12" i="2" s="1"/>
  <c r="C16" i="7" l="1"/>
  <c r="C9" i="7"/>
  <c r="N12" i="2"/>
  <c r="N44" i="2"/>
  <c r="G50" i="2"/>
  <c r="G56" i="2" s="1"/>
  <c r="E48" i="2"/>
  <c r="G48" i="2"/>
  <c r="M48" i="2"/>
  <c r="J46" i="2"/>
  <c r="J48" i="2" s="1"/>
  <c r="M46" i="2"/>
  <c r="D50" i="2"/>
  <c r="D56" i="2" s="1"/>
  <c r="H50" i="2"/>
  <c r="H56" i="2" s="1"/>
  <c r="L48" i="2"/>
  <c r="F46" i="2"/>
  <c r="F50" i="2" s="1"/>
  <c r="F56" i="2" s="1"/>
  <c r="I50" i="2"/>
  <c r="I56" i="2" s="1"/>
  <c r="N19" i="2"/>
  <c r="N22" i="2" s="1"/>
  <c r="E22" i="2"/>
  <c r="E44" i="2"/>
  <c r="E46" i="2" s="1"/>
  <c r="E50" i="2" s="1"/>
  <c r="E56" i="2" s="1"/>
  <c r="N10" i="2"/>
  <c r="B44" i="2"/>
  <c r="B46" i="2" s="1"/>
  <c r="B48" i="2" s="1"/>
  <c r="G44" i="2"/>
  <c r="G46" i="2" s="1"/>
  <c r="K44" i="2"/>
  <c r="K46" i="2" s="1"/>
  <c r="K48" i="2" s="1"/>
  <c r="C12" i="4"/>
  <c r="D12" i="4"/>
  <c r="E12" i="4"/>
  <c r="F12" i="4"/>
  <c r="G12" i="4"/>
  <c r="H12" i="4"/>
  <c r="I12" i="4"/>
  <c r="J12" i="4"/>
  <c r="K12" i="4"/>
  <c r="L12" i="4"/>
  <c r="M12" i="4"/>
  <c r="B12" i="4"/>
  <c r="C11" i="4"/>
  <c r="D11" i="4"/>
  <c r="E11" i="4"/>
  <c r="F11" i="4"/>
  <c r="G11" i="4"/>
  <c r="H11" i="4"/>
  <c r="I11" i="4"/>
  <c r="J11" i="4"/>
  <c r="K11" i="4"/>
  <c r="L11" i="4"/>
  <c r="M11" i="4"/>
  <c r="B11" i="4"/>
  <c r="C18" i="7" l="1"/>
  <c r="C22" i="7" s="1"/>
  <c r="G21" i="7"/>
  <c r="G20" i="7"/>
  <c r="B50" i="2"/>
  <c r="B56" i="2" s="1"/>
  <c r="N46" i="2"/>
  <c r="N48" i="2" s="1"/>
  <c r="F48" i="2"/>
  <c r="N5" i="4" l="1"/>
  <c r="C35" i="4"/>
  <c r="D35" i="4"/>
  <c r="E35" i="4"/>
  <c r="F35" i="4"/>
  <c r="G35" i="4"/>
  <c r="H35" i="4"/>
  <c r="I35" i="4"/>
  <c r="J35" i="4"/>
  <c r="K35" i="4"/>
  <c r="L35" i="4"/>
  <c r="M35" i="4"/>
  <c r="B35" i="4"/>
  <c r="B6" i="4"/>
  <c r="C6" i="4"/>
  <c r="D6" i="4"/>
  <c r="E6" i="4"/>
  <c r="F6" i="4"/>
  <c r="G6" i="4"/>
  <c r="H6" i="4"/>
  <c r="I6" i="4"/>
  <c r="J6" i="4"/>
  <c r="K6" i="4"/>
  <c r="L6" i="4"/>
  <c r="M6" i="4"/>
  <c r="N7" i="4"/>
  <c r="N8" i="4"/>
  <c r="N9" i="4"/>
  <c r="N10" i="4"/>
  <c r="B15" i="4"/>
  <c r="F15" i="4"/>
  <c r="J15" i="4"/>
  <c r="N20" i="4"/>
  <c r="B21" i="4"/>
  <c r="C21" i="4"/>
  <c r="D21" i="4"/>
  <c r="D24" i="4" s="1"/>
  <c r="E21" i="4"/>
  <c r="F21" i="4"/>
  <c r="G21" i="4"/>
  <c r="G24" i="4" s="1"/>
  <c r="H21" i="4"/>
  <c r="H24" i="4" s="1"/>
  <c r="I21" i="4"/>
  <c r="J21" i="4"/>
  <c r="K21" i="4"/>
  <c r="K24" i="4" s="1"/>
  <c r="L21" i="4"/>
  <c r="L24" i="4" s="1"/>
  <c r="M21" i="4"/>
  <c r="N22" i="4"/>
  <c r="N23" i="4"/>
  <c r="B24" i="4"/>
  <c r="E24" i="4"/>
  <c r="F24" i="4"/>
  <c r="I24" i="4"/>
  <c r="J24" i="4"/>
  <c r="M24" i="4"/>
  <c r="N25" i="4"/>
  <c r="N26" i="4"/>
  <c r="N27" i="4"/>
  <c r="N28" i="4"/>
  <c r="B29" i="4"/>
  <c r="C29" i="4"/>
  <c r="D29" i="4"/>
  <c r="E29" i="4"/>
  <c r="F29" i="4"/>
  <c r="G29" i="4"/>
  <c r="G46" i="4" s="1"/>
  <c r="H29" i="4"/>
  <c r="I29" i="4"/>
  <c r="J29" i="4"/>
  <c r="K29" i="4"/>
  <c r="L29" i="4"/>
  <c r="M29" i="4"/>
  <c r="N30" i="4"/>
  <c r="B31" i="4"/>
  <c r="B46" i="4" s="1"/>
  <c r="C31" i="4"/>
  <c r="N31" i="4" s="1"/>
  <c r="D31" i="4"/>
  <c r="E31" i="4"/>
  <c r="F31" i="4"/>
  <c r="G31" i="4"/>
  <c r="H31" i="4"/>
  <c r="I31" i="4"/>
  <c r="J31" i="4"/>
  <c r="K31" i="4"/>
  <c r="K46" i="4" s="1"/>
  <c r="L31" i="4"/>
  <c r="M31" i="4"/>
  <c r="N32" i="4"/>
  <c r="N33" i="4"/>
  <c r="B34" i="4"/>
  <c r="C34" i="4"/>
  <c r="D34" i="4"/>
  <c r="E34" i="4"/>
  <c r="F34" i="4"/>
  <c r="G34" i="4"/>
  <c r="H34" i="4"/>
  <c r="I34" i="4"/>
  <c r="J34" i="4"/>
  <c r="K34" i="4"/>
  <c r="L34" i="4"/>
  <c r="M34" i="4"/>
  <c r="N35" i="4"/>
  <c r="N36" i="4"/>
  <c r="N37" i="4"/>
  <c r="N38" i="4"/>
  <c r="B39" i="4"/>
  <c r="C39" i="4"/>
  <c r="N39" i="4" s="1"/>
  <c r="D39" i="4"/>
  <c r="E39" i="4"/>
  <c r="F39" i="4"/>
  <c r="G39" i="4"/>
  <c r="H39" i="4"/>
  <c r="I39" i="4"/>
  <c r="J39" i="4"/>
  <c r="K39" i="4"/>
  <c r="L39" i="4"/>
  <c r="M39" i="4"/>
  <c r="N40" i="4"/>
  <c r="N41" i="4"/>
  <c r="N42" i="4"/>
  <c r="N43" i="4"/>
  <c r="N44" i="4"/>
  <c r="N45" i="4"/>
  <c r="N47" i="4"/>
  <c r="J46" i="4" l="1"/>
  <c r="F46" i="4"/>
  <c r="H46" i="4"/>
  <c r="L15" i="4"/>
  <c r="H15" i="4"/>
  <c r="D15" i="4"/>
  <c r="N34" i="4"/>
  <c r="N21" i="4"/>
  <c r="N24" i="4" s="1"/>
  <c r="N13" i="4"/>
  <c r="N12" i="4"/>
  <c r="K15" i="4"/>
  <c r="G15" i="4"/>
  <c r="M46" i="4"/>
  <c r="I46" i="4"/>
  <c r="E46" i="4"/>
  <c r="L46" i="4"/>
  <c r="D46" i="4"/>
  <c r="N29" i="4"/>
  <c r="N46" i="4" s="1"/>
  <c r="C46" i="4"/>
  <c r="M15" i="4"/>
  <c r="I15" i="4"/>
  <c r="E15" i="4"/>
  <c r="C15" i="4"/>
  <c r="N11" i="4"/>
  <c r="C24" i="4"/>
  <c r="F22" i="6"/>
  <c r="F16" i="6"/>
  <c r="F17" i="6"/>
  <c r="F18" i="6"/>
  <c r="F15" i="6"/>
  <c r="D12" i="6"/>
  <c r="E12" i="6"/>
  <c r="C12" i="6"/>
  <c r="F5" i="6"/>
  <c r="F6" i="6"/>
  <c r="F7" i="6"/>
  <c r="F8" i="6"/>
  <c r="F9" i="6"/>
  <c r="F10" i="6"/>
  <c r="F11" i="6"/>
  <c r="F4" i="6"/>
  <c r="E23" i="6"/>
  <c r="D19" i="6"/>
  <c r="E19" i="6"/>
  <c r="C19" i="6"/>
  <c r="N15" i="4" l="1"/>
  <c r="F19" i="6"/>
  <c r="F12" i="6"/>
  <c r="C23" i="6" l="1"/>
  <c r="D23" i="6" l="1"/>
  <c r="F23" i="6" s="1"/>
  <c r="L48" i="4" l="1"/>
  <c r="G48" i="4"/>
  <c r="C48" i="4"/>
  <c r="C50" i="4" s="1"/>
  <c r="M48" i="4"/>
  <c r="M50" i="4" s="1"/>
  <c r="J48" i="4"/>
  <c r="I48" i="4"/>
  <c r="I50" i="4" s="1"/>
  <c r="H48" i="4"/>
  <c r="K48" i="4"/>
  <c r="F48" i="4"/>
  <c r="B48" i="4"/>
  <c r="E48" i="4"/>
  <c r="D48" i="4"/>
  <c r="G50" i="4" l="1"/>
  <c r="F50" i="4"/>
  <c r="J50" i="4"/>
  <c r="K50" i="4"/>
  <c r="E50" i="4"/>
  <c r="N48" i="4"/>
  <c r="H50" i="4"/>
  <c r="L50" i="4"/>
  <c r="B50" i="4"/>
  <c r="D50" i="4"/>
  <c r="N50" i="4" l="1"/>
</calcChain>
</file>

<file path=xl/comments1.xml><?xml version="1.0" encoding="utf-8"?>
<comments xmlns="http://schemas.openxmlformats.org/spreadsheetml/2006/main">
  <authors>
    <author>Hina Laptop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april/may/june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july/aug/sept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Joe McCrea
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College Court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business cards
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Ballards 595+vat - extra advice not accrued for
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vat missed off 2017 provision
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q/e june
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£450 re pensions set up
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shared service arch
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LMC Law
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ico
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2017 corporation tax
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vpn 2017/18
</t>
        </r>
      </text>
    </comment>
  </commentList>
</comments>
</file>

<file path=xl/sharedStrings.xml><?xml version="1.0" encoding="utf-8"?>
<sst xmlns="http://schemas.openxmlformats.org/spreadsheetml/2006/main" count="206" uniqueCount="135">
  <si>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</si>
  <si>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</si>
  <si>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</si>
  <si>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</si>
  <si>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</si>
  <si>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</si>
  <si>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</si>
  <si>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</si>
  <si>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</si>
  <si>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</si>
  <si>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</si>
  <si>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</si>
  <si>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</si>
  <si>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Costs</t>
  </si>
  <si>
    <t>COO expenses</t>
  </si>
  <si>
    <t>Rent</t>
  </si>
  <si>
    <t>Admin</t>
  </si>
  <si>
    <t>Insurance</t>
  </si>
  <si>
    <t>Legal &amp; professional</t>
  </si>
  <si>
    <t>Total costs</t>
  </si>
  <si>
    <t>Surplus / deficit</t>
  </si>
  <si>
    <t>Board costs</t>
  </si>
  <si>
    <t>Sundry</t>
  </si>
  <si>
    <t>Marketing materials</t>
  </si>
  <si>
    <t>Annual report</t>
  </si>
  <si>
    <t>Payroll</t>
  </si>
  <si>
    <t>ELR GP Federation Ltd</t>
  </si>
  <si>
    <t>Budget FY 17/18</t>
  </si>
  <si>
    <t>Stationary/Phone</t>
  </si>
  <si>
    <t>COO Salary + Oncost</t>
  </si>
  <si>
    <t>IT</t>
  </si>
  <si>
    <t>Clinical governance / regulation</t>
  </si>
  <si>
    <t>Board development</t>
  </si>
  <si>
    <t>CBS</t>
  </si>
  <si>
    <t>Purchase Direct</t>
  </si>
  <si>
    <t>PSS</t>
  </si>
  <si>
    <t>Income</t>
  </si>
  <si>
    <t>ELR CCG Funding</t>
  </si>
  <si>
    <t>Overheads</t>
  </si>
  <si>
    <t>Direct</t>
  </si>
  <si>
    <t>Winter Monies</t>
  </si>
  <si>
    <t>Winter monies</t>
  </si>
  <si>
    <t>Sub total</t>
  </si>
  <si>
    <t>Total income</t>
  </si>
  <si>
    <t>Comment</t>
  </si>
  <si>
    <t>Asssumption that the scheme is run again</t>
  </si>
  <si>
    <t>Ops supprt</t>
  </si>
  <si>
    <t>Kingsway</t>
  </si>
  <si>
    <t>Core funding</t>
  </si>
  <si>
    <t>Biz dev  &amp; comms</t>
  </si>
  <si>
    <t>Funds c/fwd</t>
  </si>
  <si>
    <t>Urgent care</t>
  </si>
  <si>
    <t>H Pylori</t>
  </si>
  <si>
    <t>Demand management</t>
  </si>
  <si>
    <t>Other contracts</t>
  </si>
  <si>
    <t>Budget FY 18/19</t>
  </si>
  <si>
    <t>TBD</t>
  </si>
  <si>
    <t xml:space="preserve">H Pylori </t>
  </si>
  <si>
    <t>Accountancy</t>
  </si>
  <si>
    <t>incl potential medical malpractice</t>
  </si>
  <si>
    <t>Taxation</t>
  </si>
  <si>
    <t>Estimate based on 17/18 run rate</t>
  </si>
  <si>
    <t xml:space="preserve">Asssumption that the scheme is run </t>
  </si>
  <si>
    <t>17/18</t>
  </si>
  <si>
    <t>18/19</t>
  </si>
  <si>
    <t>NHSE pharmacists</t>
  </si>
  <si>
    <t>CBS (Health checks, contraception, alcohol)</t>
  </si>
  <si>
    <t>Commissioner</t>
  </si>
  <si>
    <t>LCC / RCC</t>
  </si>
  <si>
    <t>RCC</t>
  </si>
  <si>
    <t>ELR CCG</t>
  </si>
  <si>
    <t>NHS E</t>
  </si>
  <si>
    <t>WL CCG</t>
  </si>
  <si>
    <t>Secured income streams</t>
  </si>
  <si>
    <t>Potential income streams</t>
  </si>
  <si>
    <t>Cost savings</t>
  </si>
  <si>
    <t>Purchase Direct scheme</t>
  </si>
  <si>
    <t xml:space="preserve">Winter access scheme </t>
  </si>
  <si>
    <t>Vitrucare app</t>
  </si>
  <si>
    <t>Kingsway support</t>
  </si>
  <si>
    <t>Pharmacists (ELR CCG £2/patient scheme)</t>
  </si>
  <si>
    <t>Correspondence management</t>
  </si>
  <si>
    <t>Specialist diabetes nurses</t>
  </si>
  <si>
    <t xml:space="preserve">GP </t>
  </si>
  <si>
    <t>01/04/2019 start</t>
  </si>
  <si>
    <t>Actual</t>
  </si>
  <si>
    <t>Revised and now finished</t>
  </si>
  <si>
    <t>95% of above income</t>
  </si>
  <si>
    <t xml:space="preserve">£3000 Employers Allowance </t>
  </si>
  <si>
    <t>reduced down from 840</t>
  </si>
  <si>
    <t>Joe is £600+vat = £720</t>
  </si>
  <si>
    <t>Bank charges</t>
  </si>
  <si>
    <t>Two Oadby practices stops end Sept?</t>
  </si>
  <si>
    <t>Increased based on 1st 2 q 17/18</t>
  </si>
  <si>
    <t>not as high as expected</t>
  </si>
  <si>
    <t xml:space="preserve">not yet spending </t>
  </si>
  <si>
    <t>reduced from £6400</t>
  </si>
  <si>
    <t>Bank Balance</t>
  </si>
  <si>
    <t xml:space="preserve">Balance per Statement </t>
  </si>
  <si>
    <t>Less U/p chqs</t>
  </si>
  <si>
    <t>Difference</t>
  </si>
  <si>
    <t>Running costs</t>
  </si>
  <si>
    <t>CBS net income</t>
  </si>
  <si>
    <t>TOTAL</t>
  </si>
  <si>
    <t>Surplus / deficet</t>
  </si>
  <si>
    <t>Winter scheme</t>
  </si>
  <si>
    <t>LCC contract</t>
  </si>
  <si>
    <t>Sub total (secured funds)</t>
  </si>
  <si>
    <t>£</t>
  </si>
  <si>
    <t>Secured income</t>
  </si>
  <si>
    <t>Potential income</t>
  </si>
  <si>
    <t>Sub total (potential income)</t>
  </si>
  <si>
    <t>Total income (secured + potential)</t>
  </si>
  <si>
    <t>ELR GP Federation - summary income and expentiture forecast for FY2018/19</t>
  </si>
  <si>
    <t>Includes corporation tax provision</t>
  </si>
  <si>
    <t>GP support</t>
  </si>
  <si>
    <t>19/20</t>
  </si>
  <si>
    <t>Winter access scheme</t>
  </si>
  <si>
    <t>Prescribing</t>
  </si>
  <si>
    <t>Montly cost</t>
  </si>
  <si>
    <t>secured funds</t>
  </si>
  <si>
    <t>secured funds + 67,000</t>
  </si>
  <si>
    <t>Months</t>
  </si>
  <si>
    <t>This will be kept under scrutiny</t>
  </si>
  <si>
    <t>ELR CCG / transformation</t>
  </si>
  <si>
    <t>FY17/18 carry forward</t>
  </si>
  <si>
    <t>TBD with JMc</t>
  </si>
  <si>
    <t xml:space="preserve">Transformation funding @ 25p / patient </t>
  </si>
  <si>
    <t>10p per patient</t>
  </si>
  <si>
    <t>Guesstimate</t>
  </si>
  <si>
    <t>FY16/17 claw back</t>
  </si>
  <si>
    <t>Includes £9,586 from FY16/17</t>
  </si>
  <si>
    <t>Inc £9,586 from FY16/17</t>
  </si>
  <si>
    <t>Net of FY16/17 claw back</t>
  </si>
  <si>
    <t>Transformation Fund @ 25p/patient (incl claw back from FY16/17 @£67,000)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</si>
</sst>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£-809]* #,##0_-;\-[$£-809]* #,##0_-;_-[$£-809]* &quot;-&quot;??_-;_-@_-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7" fillId="0" borderId="1" xfId="0" applyFont="1" applyBorder="1"/>
    <xf numFmtId="43" fontId="0" fillId="0" borderId="0" xfId="0" applyNumberFormat="1"/>
    <xf numFmtId="0" fontId="10" fillId="0" borderId="0" xfId="0" applyFont="1"/>
    <xf numFmtId="0" fontId="7" fillId="0" borderId="0" xfId="0" applyFont="1"/>
    <xf numFmtId="0" fontId="0" fillId="0" borderId="1" xfId="0" applyFont="1" applyBorder="1"/>
    <xf numFmtId="165" fontId="7" fillId="0" borderId="1" xfId="1" applyNumberFormat="1" applyFont="1" applyBorder="1"/>
    <xf numFmtId="165" fontId="0" fillId="0" borderId="1" xfId="1" applyNumberFormat="1" applyFont="1" applyBorder="1"/>
    <xf numFmtId="0" fontId="7" fillId="0" borderId="1" xfId="0" applyFont="1" applyFill="1" applyBorder="1"/>
    <xf numFmtId="0" fontId="0" fillId="2" borderId="1" xfId="0" applyFont="1" applyFill="1" applyBorder="1"/>
    <xf numFmtId="164" fontId="0" fillId="2" borderId="1" xfId="1" applyNumberFormat="1" applyFont="1" applyFill="1" applyBorder="1"/>
    <xf numFmtId="0" fontId="0" fillId="2" borderId="1" xfId="0" applyFill="1" applyBorder="1"/>
    <xf numFmtId="165" fontId="7" fillId="2" borderId="1" xfId="1" applyNumberFormat="1" applyFont="1" applyFill="1" applyBorder="1"/>
    <xf numFmtId="0" fontId="0" fillId="2" borderId="0" xfId="0" applyFill="1"/>
    <xf numFmtId="165" fontId="0" fillId="2" borderId="1" xfId="1" applyNumberFormat="1" applyFont="1" applyFill="1" applyBorder="1"/>
    <xf numFmtId="0" fontId="5" fillId="0" borderId="1" xfId="0" applyFont="1" applyBorder="1"/>
    <xf numFmtId="0" fontId="11" fillId="0" borderId="1" xfId="0" applyFont="1" applyBorder="1"/>
    <xf numFmtId="0" fontId="5" fillId="0" borderId="0" xfId="0" applyFont="1"/>
    <xf numFmtId="49" fontId="11" fillId="0" borderId="1" xfId="0" applyNumberFormat="1" applyFont="1" applyBorder="1"/>
    <xf numFmtId="0" fontId="11" fillId="0" borderId="0" xfId="0" applyFont="1"/>
    <xf numFmtId="17" fontId="0" fillId="2" borderId="1" xfId="0" applyNumberFormat="1" applyFill="1" applyBorder="1" applyAlignment="1">
      <alignment horizontal="left"/>
    </xf>
    <xf numFmtId="0" fontId="12" fillId="0" borderId="0" xfId="0" applyFont="1"/>
    <xf numFmtId="0" fontId="13" fillId="0" borderId="1" xfId="0" applyFont="1" applyBorder="1"/>
    <xf numFmtId="0" fontId="12" fillId="0" borderId="1" xfId="0" applyFont="1" applyBorder="1"/>
    <xf numFmtId="165" fontId="12" fillId="0" borderId="1" xfId="1" applyNumberFormat="1" applyFont="1" applyBorder="1"/>
    <xf numFmtId="165" fontId="13" fillId="0" borderId="1" xfId="1" applyNumberFormat="1" applyFont="1" applyBorder="1"/>
    <xf numFmtId="165" fontId="12" fillId="0" borderId="1" xfId="1" applyNumberFormat="1" applyFont="1" applyFill="1" applyBorder="1"/>
    <xf numFmtId="0" fontId="0" fillId="3" borderId="1" xfId="0" applyFill="1" applyBorder="1"/>
    <xf numFmtId="164" fontId="12" fillId="0" borderId="0" xfId="0" applyNumberFormat="1" applyFont="1"/>
    <xf numFmtId="1" fontId="12" fillId="0" borderId="0" xfId="0" applyNumberFormat="1" applyFont="1"/>
    <xf numFmtId="164" fontId="12" fillId="0" borderId="0" xfId="1" applyNumberFormat="1" applyFont="1"/>
    <xf numFmtId="164" fontId="12" fillId="0" borderId="3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0" fontId="16" fillId="0" borderId="1" xfId="0" applyFont="1" applyBorder="1"/>
    <xf numFmtId="164" fontId="16" fillId="0" borderId="1" xfId="1" applyNumberFormat="1" applyFont="1" applyBorder="1"/>
    <xf numFmtId="164" fontId="11" fillId="0" borderId="1" xfId="1" applyNumberFormat="1" applyFont="1" applyBorder="1"/>
    <xf numFmtId="0" fontId="17" fillId="0" borderId="1" xfId="0" applyFont="1" applyBorder="1"/>
    <xf numFmtId="164" fontId="17" fillId="0" borderId="1" xfId="1" applyNumberFormat="1" applyFont="1" applyBorder="1"/>
    <xf numFmtId="165" fontId="5" fillId="0" borderId="1" xfId="0" applyNumberFormat="1" applyFont="1" applyBorder="1"/>
    <xf numFmtId="165" fontId="11" fillId="0" borderId="1" xfId="0" applyNumberFormat="1" applyFont="1" applyBorder="1"/>
    <xf numFmtId="165" fontId="4" fillId="0" borderId="1" xfId="0" applyNumberFormat="1" applyFont="1" applyBorder="1"/>
    <xf numFmtId="0" fontId="19" fillId="0" borderId="1" xfId="0" applyFont="1" applyBorder="1"/>
    <xf numFmtId="43" fontId="19" fillId="0" borderId="1" xfId="1" applyFont="1" applyBorder="1"/>
    <xf numFmtId="0" fontId="3" fillId="0" borderId="1" xfId="0" applyFont="1" applyBorder="1"/>
    <xf numFmtId="0" fontId="2" fillId="0" borderId="1" xfId="0" applyFont="1" applyBorder="1"/>
    <xf numFmtId="164" fontId="2" fillId="0" borderId="1" xfId="1" applyNumberFormat="1" applyFont="1" applyBorder="1"/>
    <xf numFmtId="164" fontId="0" fillId="0" borderId="0" xfId="0" applyNumberFormat="1"/>
    <xf numFmtId="0" fontId="1" fillId="0" borderId="1" xfId="0" applyFont="1" applyBorder="1"/>
    <xf numFmtId="0" fontId="12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view="pageLayout" topLeftCell="A20" zoomScale="70" zoomScaleNormal="70" zoomScalePageLayoutView="70" workbookViewId="0">
      <selection sqref="A1:O56"/>
    </sheetView>
  </sheetViews>
  <sheetFormatPr defaultColWidth="11" defaultRowHeight="15.75" x14ac:dyDescent="0.25"/>
  <cols>
    <col min="1" max="1" width="23.5" customWidth="1"/>
    <col min="2" max="2" width="14.125" style="22" bestFit="1" customWidth="1"/>
    <col min="3" max="4" width="12" style="22" bestFit="1" customWidth="1"/>
    <col min="5" max="6" width="12" bestFit="1" customWidth="1"/>
    <col min="7" max="8" width="12.125" bestFit="1" customWidth="1"/>
    <col min="9" max="9" width="14.75" bestFit="1" customWidth="1"/>
    <col min="10" max="12" width="13.625" bestFit="1" customWidth="1"/>
    <col min="13" max="13" width="14.75" bestFit="1" customWidth="1"/>
    <col min="14" max="14" width="15.125" bestFit="1" customWidth="1"/>
    <col min="15" max="15" width="37.25" bestFit="1" customWidth="1"/>
  </cols>
  <sheetData>
    <row r="1" spans="1:15" x14ac:dyDescent="0.25">
      <c r="A1" s="4" t="s">
        <v>26</v>
      </c>
    </row>
    <row r="2" spans="1:15" x14ac:dyDescent="0.25">
      <c r="A2" s="4" t="s">
        <v>27</v>
      </c>
      <c r="B2" s="50" t="s">
        <v>85</v>
      </c>
      <c r="C2" s="50"/>
      <c r="D2" s="50"/>
      <c r="E2" s="50"/>
      <c r="F2" s="50"/>
    </row>
    <row r="3" spans="1:15" x14ac:dyDescent="0.25">
      <c r="A3" s="1"/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9" t="s">
        <v>44</v>
      </c>
    </row>
    <row r="4" spans="1:15" x14ac:dyDescent="0.25">
      <c r="A4" s="2" t="s">
        <v>36</v>
      </c>
      <c r="B4" s="24"/>
      <c r="C4" s="24"/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6" t="s">
        <v>37</v>
      </c>
      <c r="B5" s="25"/>
      <c r="C5" s="25">
        <v>43750</v>
      </c>
      <c r="D5" s="25">
        <v>0</v>
      </c>
      <c r="E5" s="25">
        <v>0</v>
      </c>
      <c r="F5" s="25">
        <v>43750</v>
      </c>
      <c r="G5" s="25">
        <v>0</v>
      </c>
      <c r="H5" s="25">
        <v>0</v>
      </c>
      <c r="I5" s="25">
        <v>43750</v>
      </c>
      <c r="J5" s="8">
        <f>175000/12</f>
        <v>14583.333333333334</v>
      </c>
      <c r="K5" s="8">
        <f>175000/12</f>
        <v>14583.333333333334</v>
      </c>
      <c r="L5" s="8">
        <f>175000/12</f>
        <v>14583.333333333334</v>
      </c>
      <c r="M5" s="8">
        <v>0</v>
      </c>
      <c r="N5" s="7">
        <f>SUM(B5:M5)</f>
        <v>175000.00000000003</v>
      </c>
      <c r="O5" s="1" t="s">
        <v>48</v>
      </c>
    </row>
    <row r="6" spans="1:15" x14ac:dyDescent="0.25">
      <c r="A6" s="6" t="s">
        <v>40</v>
      </c>
      <c r="B6" s="25"/>
      <c r="C6" s="25"/>
      <c r="D6" s="25"/>
      <c r="E6" s="8"/>
      <c r="F6" s="8"/>
      <c r="G6" s="8"/>
      <c r="H6" s="25"/>
      <c r="I6" s="8"/>
      <c r="J6" s="8"/>
      <c r="K6" s="8"/>
      <c r="L6" s="8"/>
      <c r="M6" s="8"/>
      <c r="N6" s="7"/>
      <c r="O6" s="1" t="s">
        <v>45</v>
      </c>
    </row>
    <row r="7" spans="1:15" x14ac:dyDescent="0.25">
      <c r="A7" s="6" t="s">
        <v>35</v>
      </c>
      <c r="B7" s="25"/>
      <c r="C7" s="25"/>
      <c r="D7" s="25"/>
      <c r="E7" s="25">
        <f>(2275-20*35)+(26+884-8*35)+(36+36)*35+(26*35)</f>
        <v>5635</v>
      </c>
      <c r="F7" s="25">
        <f>45*35</f>
        <v>1575</v>
      </c>
      <c r="G7" s="25">
        <f>36*35</f>
        <v>1260</v>
      </c>
      <c r="H7" s="25"/>
      <c r="I7" s="8"/>
      <c r="J7" s="8"/>
      <c r="K7" s="8"/>
      <c r="L7" s="8"/>
      <c r="M7" s="8"/>
      <c r="N7" s="7">
        <f>SUM(B7:M7)</f>
        <v>8470</v>
      </c>
      <c r="O7" s="12" t="s">
        <v>92</v>
      </c>
    </row>
    <row r="8" spans="1:15" x14ac:dyDescent="0.25">
      <c r="A8" s="6" t="s">
        <v>33</v>
      </c>
      <c r="B8" s="25"/>
      <c r="C8" s="25"/>
      <c r="D8" s="25">
        <v>0</v>
      </c>
      <c r="E8" s="8"/>
      <c r="F8" s="25">
        <v>58976.76</v>
      </c>
      <c r="G8" s="8"/>
      <c r="H8" s="25"/>
      <c r="I8" s="25">
        <v>56823.91</v>
      </c>
      <c r="J8" s="8">
        <v>16000</v>
      </c>
      <c r="K8" s="8">
        <v>16000</v>
      </c>
      <c r="L8" s="8">
        <v>16000</v>
      </c>
      <c r="M8" s="8">
        <f>16000*3</f>
        <v>48000</v>
      </c>
      <c r="N8" s="7">
        <f>SUM(B8:M8)</f>
        <v>211800.67</v>
      </c>
      <c r="O8" s="28" t="s">
        <v>93</v>
      </c>
    </row>
    <row r="9" spans="1:15" x14ac:dyDescent="0.25">
      <c r="A9" s="6" t="s">
        <v>34</v>
      </c>
      <c r="B9" s="25"/>
      <c r="C9" s="25"/>
      <c r="D9" s="25"/>
      <c r="E9" s="8"/>
      <c r="F9" s="8"/>
      <c r="G9" s="8"/>
      <c r="H9" s="25"/>
      <c r="I9" s="8"/>
      <c r="J9" s="8"/>
      <c r="K9" s="8"/>
      <c r="L9" s="8"/>
      <c r="M9" s="8">
        <v>1000</v>
      </c>
      <c r="N9" s="7">
        <f>SUM(B9:M9)</f>
        <v>1000</v>
      </c>
      <c r="O9" s="1" t="s">
        <v>129</v>
      </c>
    </row>
    <row r="10" spans="1:15" x14ac:dyDescent="0.25">
      <c r="A10" s="6" t="s">
        <v>47</v>
      </c>
      <c r="B10" s="25">
        <v>33840</v>
      </c>
      <c r="C10" s="25"/>
      <c r="D10" s="25">
        <f>33840*2</f>
        <v>67680</v>
      </c>
      <c r="E10" s="8"/>
      <c r="F10" s="25">
        <v>633.4</v>
      </c>
      <c r="G10" s="8"/>
      <c r="H10" s="25"/>
      <c r="I10" s="8"/>
      <c r="J10" s="8"/>
      <c r="K10" s="8"/>
      <c r="L10" s="8"/>
      <c r="M10" s="8"/>
      <c r="N10" s="7">
        <f>SUM(B10:M10)</f>
        <v>102153.4</v>
      </c>
      <c r="O10" s="12" t="s">
        <v>86</v>
      </c>
    </row>
    <row r="11" spans="1:15" x14ac:dyDescent="0.25">
      <c r="A11" s="6"/>
      <c r="B11" s="25"/>
      <c r="C11" s="25"/>
      <c r="D11" s="25"/>
      <c r="E11" s="8"/>
      <c r="F11" s="8"/>
      <c r="G11" s="8"/>
      <c r="H11" s="25"/>
      <c r="I11" s="8"/>
      <c r="J11" s="8"/>
      <c r="K11" s="8"/>
      <c r="L11" s="8"/>
      <c r="M11" s="8"/>
      <c r="N11" s="7">
        <f>SUM(B11:M11)</f>
        <v>0</v>
      </c>
      <c r="O11" s="1"/>
    </row>
    <row r="12" spans="1:15" s="5" customFormat="1" x14ac:dyDescent="0.25">
      <c r="A12" s="2" t="s">
        <v>43</v>
      </c>
      <c r="B12" s="26">
        <f t="shared" ref="B12:N12" si="0">SUM(B5:B10)</f>
        <v>33840</v>
      </c>
      <c r="C12" s="26">
        <f t="shared" si="0"/>
        <v>43750</v>
      </c>
      <c r="D12" s="26">
        <f t="shared" si="0"/>
        <v>67680</v>
      </c>
      <c r="E12" s="26">
        <f t="shared" si="0"/>
        <v>5635</v>
      </c>
      <c r="F12" s="26">
        <f t="shared" si="0"/>
        <v>104935.16</v>
      </c>
      <c r="G12" s="26">
        <f t="shared" si="0"/>
        <v>1260</v>
      </c>
      <c r="H12" s="26">
        <f t="shared" si="0"/>
        <v>0</v>
      </c>
      <c r="I12" s="26">
        <f t="shared" si="0"/>
        <v>100573.91</v>
      </c>
      <c r="J12" s="7">
        <f t="shared" si="0"/>
        <v>30583.333333333336</v>
      </c>
      <c r="K12" s="7">
        <f t="shared" si="0"/>
        <v>30583.333333333336</v>
      </c>
      <c r="L12" s="7">
        <f t="shared" si="0"/>
        <v>30583.333333333336</v>
      </c>
      <c r="M12" s="7">
        <f t="shared" si="0"/>
        <v>49000</v>
      </c>
      <c r="N12" s="7">
        <f t="shared" si="0"/>
        <v>498424.07000000007</v>
      </c>
      <c r="O12" s="2"/>
    </row>
    <row r="13" spans="1:15" x14ac:dyDescent="0.25">
      <c r="A13" s="2"/>
      <c r="B13" s="25"/>
      <c r="C13" s="25"/>
      <c r="D13" s="25"/>
      <c r="E13" s="8"/>
      <c r="F13" s="8"/>
      <c r="G13" s="8"/>
      <c r="H13" s="25"/>
      <c r="I13" s="8"/>
      <c r="J13" s="8"/>
      <c r="K13" s="8"/>
      <c r="L13" s="8"/>
      <c r="M13" s="8"/>
      <c r="N13" s="7"/>
      <c r="O13" s="1"/>
    </row>
    <row r="14" spans="1:15" x14ac:dyDescent="0.25">
      <c r="A14" s="1"/>
      <c r="B14" s="25"/>
      <c r="C14" s="25"/>
      <c r="D14" s="25"/>
      <c r="E14" s="8"/>
      <c r="F14" s="8"/>
      <c r="G14" s="8"/>
      <c r="H14" s="25"/>
      <c r="I14" s="8"/>
      <c r="J14" s="8"/>
      <c r="K14" s="8"/>
      <c r="L14" s="8"/>
      <c r="M14" s="8"/>
      <c r="N14" s="7"/>
      <c r="O14" s="1"/>
    </row>
    <row r="15" spans="1:15" x14ac:dyDescent="0.25">
      <c r="A15" s="2" t="s">
        <v>13</v>
      </c>
      <c r="B15" s="25"/>
      <c r="C15" s="25"/>
      <c r="D15" s="25"/>
      <c r="E15" s="8"/>
      <c r="F15" s="8"/>
      <c r="G15" s="8"/>
      <c r="H15" s="25"/>
      <c r="I15" s="8"/>
      <c r="J15" s="8"/>
      <c r="K15" s="8"/>
      <c r="L15" s="8"/>
      <c r="M15" s="8"/>
      <c r="N15" s="7"/>
      <c r="O15" s="1"/>
    </row>
    <row r="16" spans="1:15" x14ac:dyDescent="0.25">
      <c r="A16" s="2" t="s">
        <v>39</v>
      </c>
      <c r="B16" s="25"/>
      <c r="C16" s="25"/>
      <c r="D16" s="25"/>
      <c r="E16" s="8"/>
      <c r="F16" s="8"/>
      <c r="G16" s="8"/>
      <c r="H16" s="25"/>
      <c r="I16" s="8"/>
      <c r="J16" s="8"/>
      <c r="K16" s="8"/>
      <c r="L16" s="8"/>
      <c r="M16" s="8"/>
      <c r="N16" s="7"/>
      <c r="O16" s="1"/>
    </row>
    <row r="17" spans="1:15" x14ac:dyDescent="0.25">
      <c r="A17" s="6" t="s">
        <v>41</v>
      </c>
      <c r="B17" s="25"/>
      <c r="C17" s="25"/>
      <c r="D17" s="25"/>
      <c r="E17" s="8"/>
      <c r="F17" s="8"/>
      <c r="G17" s="8"/>
      <c r="H17" s="25"/>
      <c r="I17" s="8"/>
      <c r="J17" s="8"/>
      <c r="K17" s="8"/>
      <c r="L17" s="8"/>
      <c r="M17" s="8"/>
      <c r="N17" s="7"/>
      <c r="O17" s="1"/>
    </row>
    <row r="18" spans="1:15" x14ac:dyDescent="0.25">
      <c r="A18" s="6" t="s">
        <v>35</v>
      </c>
      <c r="B18" s="25">
        <v>0</v>
      </c>
      <c r="C18" s="25">
        <v>0</v>
      </c>
      <c r="D18" s="25">
        <v>0</v>
      </c>
      <c r="E18" s="25">
        <f>(45*34)+(18*34)+(36+36)*34+26*34</f>
        <v>5474</v>
      </c>
      <c r="F18" s="25">
        <f>45*34</f>
        <v>1530</v>
      </c>
      <c r="G18" s="25">
        <f>36*34</f>
        <v>1224</v>
      </c>
      <c r="H18" s="25">
        <v>0</v>
      </c>
      <c r="I18" s="25">
        <v>0</v>
      </c>
      <c r="J18" s="8"/>
      <c r="K18" s="8"/>
      <c r="L18" s="8"/>
      <c r="M18" s="8"/>
      <c r="N18" s="7">
        <f>SUM(B18:M18)</f>
        <v>8228</v>
      </c>
      <c r="O18" s="1"/>
    </row>
    <row r="19" spans="1:15" x14ac:dyDescent="0.25">
      <c r="A19" s="6" t="s">
        <v>33</v>
      </c>
      <c r="B19" s="25">
        <f>B8*0.95</f>
        <v>0</v>
      </c>
      <c r="C19" s="25">
        <f t="shared" ref="C19:M19" si="1">C8*0.95</f>
        <v>0</v>
      </c>
      <c r="D19" s="25">
        <f t="shared" si="1"/>
        <v>0</v>
      </c>
      <c r="E19" s="25">
        <f t="shared" si="1"/>
        <v>0</v>
      </c>
      <c r="F19" s="25">
        <f t="shared" si="1"/>
        <v>56027.921999999999</v>
      </c>
      <c r="G19" s="25">
        <f t="shared" si="1"/>
        <v>0</v>
      </c>
      <c r="H19" s="25">
        <f t="shared" si="1"/>
        <v>0</v>
      </c>
      <c r="I19" s="25">
        <f t="shared" si="1"/>
        <v>53982.714500000002</v>
      </c>
      <c r="J19" s="8">
        <f t="shared" si="1"/>
        <v>15200</v>
      </c>
      <c r="K19" s="8">
        <f t="shared" si="1"/>
        <v>15200</v>
      </c>
      <c r="L19" s="8">
        <f t="shared" si="1"/>
        <v>15200</v>
      </c>
      <c r="M19" s="8">
        <f t="shared" si="1"/>
        <v>45600</v>
      </c>
      <c r="N19" s="7">
        <f>SUM(B19:M19)</f>
        <v>201210.63649999999</v>
      </c>
      <c r="O19" s="1"/>
    </row>
    <row r="20" spans="1:15" x14ac:dyDescent="0.25">
      <c r="A20" s="6" t="s">
        <v>47</v>
      </c>
      <c r="B20" s="25">
        <v>7547.51</v>
      </c>
      <c r="C20" s="25">
        <f>1959.95+31924.04</f>
        <v>33883.99</v>
      </c>
      <c r="D20" s="25">
        <f>33840*0.95-377</f>
        <v>31771</v>
      </c>
      <c r="E20" s="25">
        <f>56234.19-32148</f>
        <v>24086.190000000002</v>
      </c>
      <c r="F20" s="8"/>
      <c r="G20" s="25">
        <f t="shared" ref="G20:M20" si="2">G10*0.95</f>
        <v>0</v>
      </c>
      <c r="H20" s="25">
        <f t="shared" si="2"/>
        <v>0</v>
      </c>
      <c r="I20" s="25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8">
        <f t="shared" si="2"/>
        <v>0</v>
      </c>
      <c r="N20" s="7">
        <f>SUM(B20:M20)</f>
        <v>97288.69</v>
      </c>
      <c r="O20" s="1" t="s">
        <v>87</v>
      </c>
    </row>
    <row r="21" spans="1:15" x14ac:dyDescent="0.25">
      <c r="A21" s="6"/>
      <c r="B21" s="25"/>
      <c r="C21" s="25"/>
      <c r="D21" s="25"/>
      <c r="E21" s="8"/>
      <c r="F21" s="8"/>
      <c r="G21" s="8"/>
      <c r="H21" s="25"/>
      <c r="I21" s="25"/>
      <c r="J21" s="8"/>
      <c r="K21" s="8"/>
      <c r="L21" s="8"/>
      <c r="M21" s="8"/>
      <c r="N21" s="7">
        <f>SUM(B21:M21)</f>
        <v>0</v>
      </c>
      <c r="O21" s="1"/>
    </row>
    <row r="22" spans="1:15" s="5" customFormat="1" x14ac:dyDescent="0.25">
      <c r="A22" s="2" t="s">
        <v>42</v>
      </c>
      <c r="B22" s="26">
        <f>SUM(B18:B21)</f>
        <v>7547.51</v>
      </c>
      <c r="C22" s="26">
        <f t="shared" ref="C22:L22" si="3">SUM(C18:C21)</f>
        <v>33883.99</v>
      </c>
      <c r="D22" s="26">
        <f t="shared" si="3"/>
        <v>31771</v>
      </c>
      <c r="E22" s="26">
        <f>SUM(E18:E21)</f>
        <v>29560.190000000002</v>
      </c>
      <c r="F22" s="26">
        <f t="shared" si="3"/>
        <v>57557.921999999999</v>
      </c>
      <c r="G22" s="26">
        <f t="shared" si="3"/>
        <v>1224</v>
      </c>
      <c r="H22" s="26">
        <f t="shared" si="3"/>
        <v>0</v>
      </c>
      <c r="I22" s="26">
        <f t="shared" si="3"/>
        <v>53982.714500000002</v>
      </c>
      <c r="J22" s="7">
        <f t="shared" si="3"/>
        <v>15200</v>
      </c>
      <c r="K22" s="7">
        <f t="shared" si="3"/>
        <v>15200</v>
      </c>
      <c r="L22" s="7">
        <f t="shared" si="3"/>
        <v>15200</v>
      </c>
      <c r="M22" s="7">
        <f>SUM(M17:M21)</f>
        <v>45600</v>
      </c>
      <c r="N22" s="7">
        <f>SUM(N17:N21)</f>
        <v>306727.32649999997</v>
      </c>
      <c r="O22" s="2"/>
    </row>
    <row r="23" spans="1:15" x14ac:dyDescent="0.25">
      <c r="A23" s="2"/>
      <c r="B23" s="25"/>
      <c r="C23" s="25"/>
      <c r="D23" s="25"/>
      <c r="E23" s="8"/>
      <c r="F23" s="8"/>
      <c r="G23" s="8"/>
      <c r="H23" s="8"/>
      <c r="I23" s="25"/>
      <c r="J23" s="8"/>
      <c r="K23" s="8"/>
      <c r="L23" s="8"/>
      <c r="M23" s="8"/>
      <c r="N23" s="7"/>
      <c r="O23" s="1"/>
    </row>
    <row r="24" spans="1:15" x14ac:dyDescent="0.25">
      <c r="A24" s="2" t="s">
        <v>38</v>
      </c>
      <c r="B24" s="25"/>
      <c r="C24" s="25"/>
      <c r="D24" s="25"/>
      <c r="E24" s="8"/>
      <c r="F24" s="8"/>
      <c r="G24" s="8"/>
      <c r="H24" s="8"/>
      <c r="I24" s="25"/>
      <c r="J24" s="8"/>
      <c r="K24" s="8"/>
      <c r="L24" s="8"/>
      <c r="M24" s="8"/>
      <c r="N24" s="7"/>
      <c r="O24" s="1"/>
    </row>
    <row r="25" spans="1:15" x14ac:dyDescent="0.25">
      <c r="A25" s="1" t="s">
        <v>21</v>
      </c>
      <c r="B25" s="27">
        <f>1239.6-1033.2</f>
        <v>206.39999999999986</v>
      </c>
      <c r="C25" s="27">
        <v>1180</v>
      </c>
      <c r="D25" s="25">
        <v>0</v>
      </c>
      <c r="E25" s="25">
        <f>-1180+450.2+576+158.4+396+594.9+608.4+417.6+648</f>
        <v>2669.5</v>
      </c>
      <c r="F25" s="25">
        <f>100.8+150.3+162+144+198+433.6</f>
        <v>1188.7</v>
      </c>
      <c r="G25" s="25">
        <v>1477.8</v>
      </c>
      <c r="H25" s="25">
        <v>0</v>
      </c>
      <c r="I25" s="25">
        <f>198+194.4+186.3+343.8+307.8+180</f>
        <v>1410.3</v>
      </c>
      <c r="J25" s="8">
        <v>1850</v>
      </c>
      <c r="K25" s="8">
        <v>1850</v>
      </c>
      <c r="L25" s="8">
        <v>1850</v>
      </c>
      <c r="M25" s="8">
        <v>1850</v>
      </c>
      <c r="N25" s="7">
        <f t="shared" ref="N25:N45" si="4">SUM(B25:M25)</f>
        <v>15532.7</v>
      </c>
      <c r="O25" s="28" t="s">
        <v>94</v>
      </c>
    </row>
    <row r="26" spans="1:15" x14ac:dyDescent="0.25">
      <c r="A26" s="1" t="s">
        <v>32</v>
      </c>
      <c r="B26" s="27"/>
      <c r="C26" s="25"/>
      <c r="D26" s="25">
        <v>0</v>
      </c>
      <c r="E26" s="25">
        <v>0</v>
      </c>
      <c r="F26" s="25">
        <v>0</v>
      </c>
      <c r="G26" s="25">
        <v>0</v>
      </c>
      <c r="H26" s="8"/>
      <c r="I26" s="25"/>
      <c r="J26" s="8"/>
      <c r="K26" s="8">
        <v>1500</v>
      </c>
      <c r="L26" s="8"/>
      <c r="M26" s="8"/>
      <c r="N26" s="7">
        <f t="shared" si="4"/>
        <v>1500</v>
      </c>
      <c r="O26" s="1"/>
    </row>
    <row r="27" spans="1:15" x14ac:dyDescent="0.25">
      <c r="A27" s="1" t="s">
        <v>29</v>
      </c>
      <c r="B27" s="27">
        <f>4057.08+1936.86+(4313.14-4057.08)</f>
        <v>6250</v>
      </c>
      <c r="C27" s="25">
        <f>4057.08+(4312.73-4057.08)+1937.27</f>
        <v>6250</v>
      </c>
      <c r="D27" s="25">
        <f>4057.08+256.05+1936.87</f>
        <v>6250</v>
      </c>
      <c r="E27" s="25">
        <f>-5981.25+9193.44+7355.31-648</f>
        <v>9919.5</v>
      </c>
      <c r="F27" s="25">
        <f>4771.11+3344.19-198</f>
        <v>7917.2999999999993</v>
      </c>
      <c r="G27" s="25">
        <f>4771.11+(3348.69-202.5)</f>
        <v>7917.2999999999993</v>
      </c>
      <c r="H27" s="25">
        <f>4742.32+3728.48-553.5</f>
        <v>7917.2999999999993</v>
      </c>
      <c r="I27" s="25">
        <f>4742.32</f>
        <v>4742.32</v>
      </c>
      <c r="J27" s="8">
        <f>(75000*1.28)/12</f>
        <v>8000</v>
      </c>
      <c r="K27" s="8">
        <f>(75000*1.28)/12</f>
        <v>8000</v>
      </c>
      <c r="L27" s="8">
        <f>(75000*1.28)/12</f>
        <v>8000</v>
      </c>
      <c r="M27" s="8">
        <f>(75000*1.28)/12</f>
        <v>8000</v>
      </c>
      <c r="N27" s="7">
        <f t="shared" si="4"/>
        <v>89163.72</v>
      </c>
      <c r="O27" s="1" t="s">
        <v>88</v>
      </c>
    </row>
    <row r="28" spans="1:15" x14ac:dyDescent="0.25">
      <c r="A28" s="1" t="s">
        <v>14</v>
      </c>
      <c r="B28" s="27">
        <v>94.45</v>
      </c>
      <c r="C28" s="25">
        <v>0</v>
      </c>
      <c r="D28" s="25">
        <f>126.75+59.35</f>
        <v>186.1</v>
      </c>
      <c r="E28" s="25"/>
      <c r="F28" s="25">
        <v>0</v>
      </c>
      <c r="G28" s="25">
        <f>128.48+81.45</f>
        <v>209.93</v>
      </c>
      <c r="H28" s="25">
        <v>30.85</v>
      </c>
      <c r="I28" s="25">
        <v>132.24</v>
      </c>
      <c r="J28" s="8">
        <v>130</v>
      </c>
      <c r="K28" s="8">
        <v>130</v>
      </c>
      <c r="L28" s="8">
        <v>130</v>
      </c>
      <c r="M28" s="8">
        <v>130</v>
      </c>
      <c r="N28" s="7">
        <f t="shared" si="4"/>
        <v>1173.5700000000002</v>
      </c>
      <c r="O28" s="1"/>
    </row>
    <row r="29" spans="1:15" x14ac:dyDescent="0.25">
      <c r="A29" s="1" t="s">
        <v>15</v>
      </c>
      <c r="B29" s="27">
        <v>0</v>
      </c>
      <c r="C29" s="25">
        <v>0</v>
      </c>
      <c r="D29" s="25">
        <v>1300</v>
      </c>
      <c r="E29" s="25">
        <v>0</v>
      </c>
      <c r="F29" s="25">
        <v>0</v>
      </c>
      <c r="G29" s="25">
        <v>1300</v>
      </c>
      <c r="H29" s="25">
        <v>0</v>
      </c>
      <c r="I29" s="25">
        <v>0</v>
      </c>
      <c r="J29" s="8">
        <v>1300</v>
      </c>
      <c r="K29" s="8">
        <f>1300/3</f>
        <v>433.33333333333331</v>
      </c>
      <c r="L29" s="8">
        <f>1300/3</f>
        <v>433.33333333333331</v>
      </c>
      <c r="M29" s="8">
        <f>1300/3</f>
        <v>433.33333333333331</v>
      </c>
      <c r="N29" s="7">
        <f t="shared" si="4"/>
        <v>5199.9999999999991</v>
      </c>
      <c r="O29" s="1"/>
    </row>
    <row r="30" spans="1:15" x14ac:dyDescent="0.25">
      <c r="A30" s="1" t="s">
        <v>16</v>
      </c>
      <c r="B30" s="27">
        <v>200</v>
      </c>
      <c r="C30" s="25">
        <v>0</v>
      </c>
      <c r="D30" s="25">
        <f>306.25+412.5</f>
        <v>718.75</v>
      </c>
      <c r="E30" s="25">
        <v>0</v>
      </c>
      <c r="F30" s="25">
        <v>625</v>
      </c>
      <c r="G30" s="25">
        <v>200</v>
      </c>
      <c r="H30" s="25">
        <v>300</v>
      </c>
      <c r="I30" s="25">
        <f>-75+337.5</f>
        <v>262.5</v>
      </c>
      <c r="J30" s="8">
        <v>400</v>
      </c>
      <c r="K30" s="8">
        <v>400</v>
      </c>
      <c r="L30" s="8">
        <v>400</v>
      </c>
      <c r="M30" s="8">
        <v>400</v>
      </c>
      <c r="N30" s="7">
        <f t="shared" si="4"/>
        <v>3906.25</v>
      </c>
      <c r="O30" s="1"/>
    </row>
    <row r="31" spans="1:15" x14ac:dyDescent="0.25">
      <c r="A31" s="1" t="s">
        <v>28</v>
      </c>
      <c r="B31" s="27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8">
        <v>70</v>
      </c>
      <c r="K31" s="8">
        <v>70</v>
      </c>
      <c r="L31" s="8">
        <v>70</v>
      </c>
      <c r="M31" s="8">
        <v>70</v>
      </c>
      <c r="N31" s="7">
        <f t="shared" si="4"/>
        <v>280</v>
      </c>
      <c r="O31" s="12" t="s">
        <v>89</v>
      </c>
    </row>
    <row r="32" spans="1:15" x14ac:dyDescent="0.25">
      <c r="A32" s="1" t="s">
        <v>115</v>
      </c>
      <c r="B32" s="27"/>
      <c r="C32" s="25"/>
      <c r="D32" s="25"/>
      <c r="E32" s="25"/>
      <c r="F32" s="25"/>
      <c r="G32" s="25"/>
      <c r="H32" s="25"/>
      <c r="I32" s="25"/>
      <c r="J32" s="8">
        <f>90*3*4</f>
        <v>1080</v>
      </c>
      <c r="K32" s="8">
        <f>90*4*4</f>
        <v>1440</v>
      </c>
      <c r="L32" s="8">
        <f t="shared" ref="L32:M32" si="5">90*4*4</f>
        <v>1440</v>
      </c>
      <c r="M32" s="8">
        <f t="shared" si="5"/>
        <v>1440</v>
      </c>
      <c r="N32" s="7">
        <f t="shared" si="4"/>
        <v>5400</v>
      </c>
      <c r="O32" s="12"/>
    </row>
    <row r="33" spans="1:15" x14ac:dyDescent="0.25">
      <c r="A33" s="1" t="s">
        <v>49</v>
      </c>
      <c r="B33" s="25"/>
      <c r="C33" s="25"/>
      <c r="D33" s="25"/>
      <c r="E33" s="25">
        <v>2160</v>
      </c>
      <c r="F33" s="25">
        <v>0</v>
      </c>
      <c r="G33" s="25">
        <v>2160</v>
      </c>
      <c r="H33" s="25">
        <v>710.4</v>
      </c>
      <c r="I33" s="25">
        <v>0</v>
      </c>
      <c r="J33" s="8">
        <f>720*2</f>
        <v>1440</v>
      </c>
      <c r="K33" s="8">
        <f>720+350</f>
        <v>1070</v>
      </c>
      <c r="L33" s="8">
        <f>720</f>
        <v>720</v>
      </c>
      <c r="M33" s="8">
        <f>720</f>
        <v>720</v>
      </c>
      <c r="N33" s="7">
        <f t="shared" si="4"/>
        <v>8980.4</v>
      </c>
      <c r="O33" s="1" t="s">
        <v>90</v>
      </c>
    </row>
    <row r="34" spans="1:15" x14ac:dyDescent="0.25">
      <c r="A34" s="1" t="s">
        <v>46</v>
      </c>
      <c r="B34" s="25"/>
      <c r="C34" s="25"/>
      <c r="D34" s="25"/>
      <c r="E34" s="8"/>
      <c r="F34" s="25"/>
      <c r="G34" s="25"/>
      <c r="H34" s="25"/>
      <c r="I34" s="25"/>
      <c r="J34" s="8"/>
      <c r="K34" s="8"/>
      <c r="L34" s="8"/>
      <c r="M34" s="8"/>
      <c r="N34" s="7">
        <f t="shared" si="4"/>
        <v>0</v>
      </c>
      <c r="O34" s="28" t="s">
        <v>95</v>
      </c>
    </row>
    <row r="35" spans="1:15" x14ac:dyDescent="0.25">
      <c r="A35" s="1" t="s">
        <v>23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130</v>
      </c>
      <c r="H35" s="25">
        <v>0</v>
      </c>
      <c r="I35" s="25">
        <v>0</v>
      </c>
      <c r="J35" s="8">
        <v>250</v>
      </c>
      <c r="K35" s="8">
        <v>125</v>
      </c>
      <c r="L35" s="8">
        <v>125</v>
      </c>
      <c r="M35" s="8">
        <v>125</v>
      </c>
      <c r="N35" s="7">
        <f t="shared" si="4"/>
        <v>755</v>
      </c>
      <c r="O35" s="1"/>
    </row>
    <row r="36" spans="1:15" x14ac:dyDescent="0.25">
      <c r="A36" s="1" t="s">
        <v>24</v>
      </c>
      <c r="B36" s="25"/>
      <c r="C36" s="25"/>
      <c r="D36" s="25"/>
      <c r="E36" s="25">
        <f>595*1.2</f>
        <v>714</v>
      </c>
      <c r="F36" s="25"/>
      <c r="G36" s="25">
        <v>390</v>
      </c>
      <c r="H36" s="25"/>
      <c r="I36" s="25"/>
      <c r="J36" s="8"/>
      <c r="K36" s="8"/>
      <c r="L36" s="8"/>
      <c r="M36" s="8">
        <v>2340</v>
      </c>
      <c r="N36" s="7">
        <f t="shared" si="4"/>
        <v>3444</v>
      </c>
      <c r="O36" s="1"/>
    </row>
    <row r="37" spans="1:15" x14ac:dyDescent="0.25">
      <c r="A37" s="1" t="s">
        <v>17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f>545.8+377.81</f>
        <v>923.6099999999999</v>
      </c>
      <c r="H37" s="25">
        <v>0</v>
      </c>
      <c r="I37" s="25"/>
      <c r="J37" s="8">
        <v>1000</v>
      </c>
      <c r="K37" s="8">
        <v>500</v>
      </c>
      <c r="L37" s="8">
        <v>500</v>
      </c>
      <c r="M37" s="8">
        <v>500</v>
      </c>
      <c r="N37" s="7">
        <f t="shared" si="4"/>
        <v>3423.6099999999997</v>
      </c>
      <c r="O37" s="12" t="s">
        <v>96</v>
      </c>
    </row>
    <row r="38" spans="1:15" x14ac:dyDescent="0.25">
      <c r="A38" s="1" t="s">
        <v>25</v>
      </c>
      <c r="B38" s="25"/>
      <c r="C38" s="25"/>
      <c r="D38" s="25">
        <v>0</v>
      </c>
      <c r="E38" s="25">
        <v>96</v>
      </c>
      <c r="F38" s="25">
        <v>0</v>
      </c>
      <c r="G38" s="8"/>
      <c r="H38" s="25">
        <v>300</v>
      </c>
      <c r="I38" s="25">
        <v>0</v>
      </c>
      <c r="J38" s="8">
        <f>50*2+450</f>
        <v>550</v>
      </c>
      <c r="K38" s="8">
        <v>50</v>
      </c>
      <c r="L38" s="8">
        <v>50</v>
      </c>
      <c r="M38" s="8">
        <v>50</v>
      </c>
      <c r="N38" s="7">
        <f t="shared" si="4"/>
        <v>1096</v>
      </c>
      <c r="O38" s="1"/>
    </row>
    <row r="39" spans="1:15" x14ac:dyDescent="0.25">
      <c r="A39" s="1" t="s">
        <v>18</v>
      </c>
      <c r="B39" s="25"/>
      <c r="C39" s="25"/>
      <c r="D39" s="25"/>
      <c r="E39" s="25">
        <v>1200</v>
      </c>
      <c r="F39" s="25">
        <v>600</v>
      </c>
      <c r="G39" s="25">
        <v>0</v>
      </c>
      <c r="H39" s="25">
        <v>0</v>
      </c>
      <c r="I39" s="25"/>
      <c r="J39" s="8"/>
      <c r="K39" s="8"/>
      <c r="L39" s="8"/>
      <c r="M39" s="8">
        <v>2000</v>
      </c>
      <c r="N39" s="7">
        <f t="shared" si="4"/>
        <v>3800</v>
      </c>
      <c r="O39" s="1"/>
    </row>
    <row r="40" spans="1:15" x14ac:dyDescent="0.25">
      <c r="A40" s="1" t="s">
        <v>22</v>
      </c>
      <c r="B40" s="25">
        <v>0</v>
      </c>
      <c r="C40" s="25">
        <v>0</v>
      </c>
      <c r="D40" s="25">
        <v>0</v>
      </c>
      <c r="E40" s="25">
        <v>35</v>
      </c>
      <c r="F40" s="25">
        <v>0</v>
      </c>
      <c r="G40" s="25">
        <v>1067.5999999999999</v>
      </c>
      <c r="H40" s="25">
        <v>0</v>
      </c>
      <c r="I40" s="25">
        <v>0</v>
      </c>
      <c r="J40" s="8">
        <v>100</v>
      </c>
      <c r="K40" s="8">
        <v>50</v>
      </c>
      <c r="L40" s="8">
        <v>50</v>
      </c>
      <c r="M40" s="8">
        <f>100+3000</f>
        <v>3100</v>
      </c>
      <c r="N40" s="7">
        <f t="shared" si="4"/>
        <v>4402.6000000000004</v>
      </c>
      <c r="O40" s="1" t="s">
        <v>114</v>
      </c>
    </row>
    <row r="41" spans="1:15" x14ac:dyDescent="0.25">
      <c r="A41" s="1" t="s">
        <v>91</v>
      </c>
      <c r="B41" s="25">
        <v>12.1</v>
      </c>
      <c r="C41" s="25">
        <v>7.3</v>
      </c>
      <c r="D41" s="25">
        <v>9.6999999999999993</v>
      </c>
      <c r="E41" s="25">
        <v>7.7</v>
      </c>
      <c r="F41" s="25">
        <v>7.7</v>
      </c>
      <c r="G41" s="25">
        <f>-1.56+6.5</f>
        <v>4.9399999999999995</v>
      </c>
      <c r="H41" s="25">
        <v>6.5</v>
      </c>
      <c r="I41" s="25">
        <v>7.7</v>
      </c>
      <c r="J41" s="8">
        <v>15</v>
      </c>
      <c r="K41" s="8">
        <v>15</v>
      </c>
      <c r="L41" s="8">
        <v>15</v>
      </c>
      <c r="M41" s="8">
        <v>15</v>
      </c>
      <c r="N41" s="7">
        <f t="shared" si="4"/>
        <v>123.64</v>
      </c>
      <c r="O41" s="1"/>
    </row>
    <row r="42" spans="1:15" x14ac:dyDescent="0.25">
      <c r="A42" s="1" t="s">
        <v>30</v>
      </c>
      <c r="B42" s="25"/>
      <c r="C42" s="25"/>
      <c r="D42" s="25"/>
      <c r="E42" s="25">
        <v>144</v>
      </c>
      <c r="F42" s="25">
        <v>0</v>
      </c>
      <c r="G42" s="25">
        <v>0</v>
      </c>
      <c r="H42" s="25">
        <v>0</v>
      </c>
      <c r="I42" s="25">
        <v>0</v>
      </c>
      <c r="J42" s="8">
        <v>700</v>
      </c>
      <c r="K42" s="8"/>
      <c r="L42" s="8"/>
      <c r="M42" s="8"/>
      <c r="N42" s="7">
        <f t="shared" si="4"/>
        <v>844</v>
      </c>
      <c r="O42" s="1"/>
    </row>
    <row r="43" spans="1:15" x14ac:dyDescent="0.25">
      <c r="A43" s="1" t="s">
        <v>31</v>
      </c>
      <c r="B43" s="25"/>
      <c r="C43" s="25"/>
      <c r="E43" s="25">
        <v>0</v>
      </c>
      <c r="F43" s="25">
        <v>0</v>
      </c>
      <c r="G43" s="25">
        <v>0</v>
      </c>
      <c r="H43" s="25"/>
      <c r="I43" s="25"/>
      <c r="J43" s="8"/>
      <c r="K43" s="8"/>
      <c r="L43" s="8"/>
      <c r="M43" s="8"/>
      <c r="N43" s="7">
        <f t="shared" si="4"/>
        <v>0</v>
      </c>
      <c r="O43" s="1"/>
    </row>
    <row r="44" spans="1:15" s="5" customFormat="1" x14ac:dyDescent="0.25">
      <c r="A44" s="2" t="s">
        <v>42</v>
      </c>
      <c r="B44" s="26">
        <f t="shared" ref="B44:N44" si="6">SUM(B25:B43)</f>
        <v>6762.95</v>
      </c>
      <c r="C44" s="26">
        <f t="shared" si="6"/>
        <v>7437.3</v>
      </c>
      <c r="D44" s="26">
        <f t="shared" si="6"/>
        <v>8464.5500000000011</v>
      </c>
      <c r="E44" s="26">
        <f>SUM(E25:E43)</f>
        <v>16945.7</v>
      </c>
      <c r="F44" s="26">
        <f t="shared" si="6"/>
        <v>10338.700000000001</v>
      </c>
      <c r="G44" s="26">
        <f t="shared" si="6"/>
        <v>15781.18</v>
      </c>
      <c r="H44" s="26">
        <f t="shared" si="6"/>
        <v>9265.0499999999993</v>
      </c>
      <c r="I44" s="26">
        <f t="shared" si="6"/>
        <v>6555.0599999999995</v>
      </c>
      <c r="J44" s="7">
        <f t="shared" si="6"/>
        <v>16885</v>
      </c>
      <c r="K44" s="7">
        <f t="shared" si="6"/>
        <v>15633.333333333334</v>
      </c>
      <c r="L44" s="7">
        <f t="shared" si="6"/>
        <v>13783.333333333334</v>
      </c>
      <c r="M44" s="7">
        <f t="shared" si="6"/>
        <v>21173.333333333336</v>
      </c>
      <c r="N44" s="7">
        <f t="shared" si="6"/>
        <v>149025.49000000002</v>
      </c>
      <c r="O44" s="2"/>
    </row>
    <row r="45" spans="1:15" x14ac:dyDescent="0.25">
      <c r="A45" s="1"/>
      <c r="B45" s="25"/>
      <c r="C45" s="25"/>
      <c r="D45" s="25"/>
      <c r="E45" s="25"/>
      <c r="F45" s="25"/>
      <c r="G45" s="25"/>
      <c r="H45" s="25"/>
      <c r="I45" s="8"/>
      <c r="J45" s="8"/>
      <c r="K45" s="8"/>
      <c r="L45" s="8"/>
      <c r="M45" s="8"/>
      <c r="N45" s="7">
        <f t="shared" si="4"/>
        <v>0</v>
      </c>
      <c r="O45" s="1"/>
    </row>
    <row r="46" spans="1:15" x14ac:dyDescent="0.25">
      <c r="A46" s="2" t="s">
        <v>19</v>
      </c>
      <c r="B46" s="26">
        <f t="shared" ref="B46:N46" si="7">B44+B22</f>
        <v>14310.46</v>
      </c>
      <c r="C46" s="26">
        <f t="shared" si="7"/>
        <v>41321.29</v>
      </c>
      <c r="D46" s="26">
        <f t="shared" si="7"/>
        <v>40235.550000000003</v>
      </c>
      <c r="E46" s="26">
        <f t="shared" si="7"/>
        <v>46505.89</v>
      </c>
      <c r="F46" s="26">
        <f t="shared" si="7"/>
        <v>67896.622000000003</v>
      </c>
      <c r="G46" s="26">
        <f t="shared" si="7"/>
        <v>17005.18</v>
      </c>
      <c r="H46" s="26">
        <f t="shared" si="7"/>
        <v>9265.0499999999993</v>
      </c>
      <c r="I46" s="26">
        <f>I44+I22</f>
        <v>60537.7745</v>
      </c>
      <c r="J46" s="7">
        <f t="shared" si="7"/>
        <v>32085</v>
      </c>
      <c r="K46" s="7">
        <f t="shared" si="7"/>
        <v>30833.333333333336</v>
      </c>
      <c r="L46" s="7">
        <f t="shared" si="7"/>
        <v>28983.333333333336</v>
      </c>
      <c r="M46" s="7">
        <f t="shared" si="7"/>
        <v>66773.333333333343</v>
      </c>
      <c r="N46" s="7">
        <f t="shared" si="7"/>
        <v>455752.81649999996</v>
      </c>
      <c r="O46" s="1"/>
    </row>
    <row r="47" spans="1:15" x14ac:dyDescent="0.25">
      <c r="A47" s="2"/>
      <c r="B47" s="26"/>
      <c r="C47" s="26"/>
      <c r="D47" s="26"/>
      <c r="E47" s="26"/>
      <c r="F47" s="26"/>
      <c r="G47" s="26"/>
      <c r="H47" s="26"/>
      <c r="I47" s="26"/>
      <c r="J47" s="7"/>
      <c r="K47" s="7"/>
      <c r="L47" s="7"/>
      <c r="M47" s="7"/>
      <c r="N47" s="7"/>
      <c r="O47" s="1"/>
    </row>
    <row r="48" spans="1:15" x14ac:dyDescent="0.25">
      <c r="A48" s="2" t="s">
        <v>20</v>
      </c>
      <c r="B48" s="26">
        <f t="shared" ref="B48:N48" si="8">B12-B46</f>
        <v>19529.54</v>
      </c>
      <c r="C48" s="26">
        <f t="shared" si="8"/>
        <v>2428.7099999999991</v>
      </c>
      <c r="D48" s="26">
        <f t="shared" si="8"/>
        <v>27444.449999999997</v>
      </c>
      <c r="E48" s="26">
        <f t="shared" si="8"/>
        <v>-40870.89</v>
      </c>
      <c r="F48" s="26">
        <f t="shared" si="8"/>
        <v>37038.538</v>
      </c>
      <c r="G48" s="26">
        <f t="shared" si="8"/>
        <v>-15745.18</v>
      </c>
      <c r="H48" s="26">
        <f t="shared" si="8"/>
        <v>-9265.0499999999993</v>
      </c>
      <c r="I48" s="26">
        <f t="shared" si="8"/>
        <v>40036.135500000004</v>
      </c>
      <c r="J48" s="7">
        <f t="shared" si="8"/>
        <v>-1501.6666666666642</v>
      </c>
      <c r="K48" s="7">
        <f t="shared" si="8"/>
        <v>-250</v>
      </c>
      <c r="L48" s="7">
        <f t="shared" si="8"/>
        <v>1600</v>
      </c>
      <c r="M48" s="7">
        <f t="shared" si="8"/>
        <v>-17773.333333333343</v>
      </c>
      <c r="N48" s="7">
        <f t="shared" si="8"/>
        <v>42671.253500000108</v>
      </c>
      <c r="O48" s="1"/>
    </row>
    <row r="49" spans="1:9" x14ac:dyDescent="0.25">
      <c r="H49" s="22"/>
    </row>
    <row r="50" spans="1:9" x14ac:dyDescent="0.25">
      <c r="A50" s="5" t="s">
        <v>97</v>
      </c>
      <c r="B50" s="29">
        <f>13956+B12-B46</f>
        <v>33485.54</v>
      </c>
      <c r="C50" s="29">
        <f t="shared" ref="C50:I50" si="9">B54+C12-C46</f>
        <v>35914.559010000004</v>
      </c>
      <c r="D50" s="29">
        <f t="shared" si="9"/>
        <v>63359.009009999994</v>
      </c>
      <c r="E50" s="29">
        <f t="shared" si="9"/>
        <v>22488.119009999995</v>
      </c>
      <c r="F50" s="29">
        <f t="shared" si="9"/>
        <v>59518.657999999996</v>
      </c>
      <c r="G50" s="29">
        <f t="shared" si="9"/>
        <v>43773.478000000003</v>
      </c>
      <c r="H50" s="29">
        <f t="shared" si="9"/>
        <v>34508.428</v>
      </c>
      <c r="I50" s="29">
        <f t="shared" si="9"/>
        <v>74545.163499999995</v>
      </c>
    </row>
    <row r="51" spans="1:9" x14ac:dyDescent="0.25">
      <c r="E51" s="22"/>
      <c r="F51" s="22"/>
      <c r="G51" s="22"/>
      <c r="H51" s="22"/>
      <c r="I51" s="22"/>
    </row>
    <row r="52" spans="1:9" x14ac:dyDescent="0.25">
      <c r="A52" t="s">
        <v>98</v>
      </c>
      <c r="B52" s="31">
        <v>50236.33</v>
      </c>
      <c r="C52" s="31">
        <v>82258.83</v>
      </c>
      <c r="D52" s="31">
        <v>111265.28</v>
      </c>
      <c r="E52" s="31">
        <v>39238.43</v>
      </c>
      <c r="F52" s="31">
        <v>76739.44</v>
      </c>
      <c r="G52" s="31">
        <v>56323.47</v>
      </c>
      <c r="H52" s="31">
        <v>45032.59</v>
      </c>
      <c r="I52" s="31">
        <v>70554.75</v>
      </c>
    </row>
    <row r="53" spans="1:9" x14ac:dyDescent="0.25">
      <c r="A53" t="s">
        <v>99</v>
      </c>
      <c r="B53" s="31">
        <f>-980-1400-6+(-35*36)+3536+((4326.93+6*6250)*0.143)+1950+144+100+506.7+1033.2+54.48+340+206.4+4057.08+256.06+1936.86+94.45+200</f>
        <v>16750.48099</v>
      </c>
      <c r="C53" s="31">
        <f>(-35*36)+3536+((4326.93+6*6250)*0.143)+1950+144+100+340+256.06+1180+255.65+1937.27+31924.04</f>
        <v>46344.270990000005</v>
      </c>
      <c r="D53" s="31">
        <f>(-35*36)+3536+((4326.93+6*6250)*0.143)+1950+100+1180+306.25+412.5+59.35+1300+32148+256.05+1936.87</f>
        <v>47906.270990000005</v>
      </c>
      <c r="E53" s="31">
        <f>-(36+36+26)*35+(3536+1224+1530+1224+1224)+1950+100+7355.31+714+96+1200+35</f>
        <v>16758.310000000001</v>
      </c>
      <c r="F53" s="31">
        <f>-(36+36+26+45)*35+(3536+1224+1530+1224+1224+1530)+1950+100+714+96+35-((58976.76*0.05)-142-211.72-57.95-178.92)+2839.93+3578.31+3344.19+433.6+600+625</f>
        <v>17220.781999999999</v>
      </c>
      <c r="G53" s="31">
        <f>-(36+36+26+45+36)*35+(3536+1224+1530+1224+1224+1530+1224)+100+35-((58976.76*0.05)-142-211.72-57.95-178.92-79.37-974.64-113.06-34.01-161.52-349.81-627.41)+540+3348.69+1477.8+81.45+128.48+1300+200+130</f>
        <v>12549.991999999998</v>
      </c>
      <c r="H53" s="31">
        <f>-(36+36+26+45+36)*35+(3536+1224+1530+1224+1224+1530+1224)+100+35-((58976.76*0.05)-142-211.72-57.95-178.92-79.37-974.64-113.06-34.01-161.52-349.81-627.41-280.26)+130+3728.48+30.85+300+710.4</f>
        <v>10523.562</v>
      </c>
      <c r="I53" s="31">
        <f>-(36+36+26+45+36)*35+1925+(3536+1224+1530+1224+1224+1530+1224-9656)+100+35-((58976.76*0.05)-142-211.72-57.95-178.92-79.37-974.64-113.06-34.01-161.52-349.81-627.41-280.26)+130+30.85+(300-75)-(56823.91*0.05)+9.12+93.22+132.34+337.5</f>
        <v>-3990.3335000000006</v>
      </c>
    </row>
    <row r="54" spans="1:9" ht="16.5" thickBot="1" x14ac:dyDescent="0.3">
      <c r="B54" s="32">
        <f t="shared" ref="B54:H54" si="10">SUM(B52-B53)</f>
        <v>33485.849010000005</v>
      </c>
      <c r="C54" s="32">
        <f t="shared" si="10"/>
        <v>35914.559009999997</v>
      </c>
      <c r="D54" s="32">
        <f t="shared" si="10"/>
        <v>63359.009009999994</v>
      </c>
      <c r="E54" s="32">
        <f t="shared" si="10"/>
        <v>22480.12</v>
      </c>
      <c r="F54" s="32">
        <f t="shared" si="10"/>
        <v>59518.658000000003</v>
      </c>
      <c r="G54" s="32">
        <f t="shared" si="10"/>
        <v>43773.478000000003</v>
      </c>
      <c r="H54" s="32">
        <f t="shared" si="10"/>
        <v>34509.027999999998</v>
      </c>
      <c r="I54" s="32">
        <f t="shared" ref="I54" si="11">SUM(I52-I53)</f>
        <v>74545.083500000008</v>
      </c>
    </row>
    <row r="55" spans="1:9" x14ac:dyDescent="0.25">
      <c r="B55" s="30"/>
      <c r="C55" s="30"/>
      <c r="H55" s="22"/>
      <c r="I55" s="22"/>
    </row>
    <row r="56" spans="1:9" x14ac:dyDescent="0.25">
      <c r="A56" t="s">
        <v>100</v>
      </c>
      <c r="B56" s="30">
        <f t="shared" ref="B56:I56" si="12">B50-B54</f>
        <v>-0.3090100000044913</v>
      </c>
      <c r="C56" s="30">
        <f t="shared" si="12"/>
        <v>0</v>
      </c>
      <c r="D56" s="30">
        <f t="shared" si="12"/>
        <v>0</v>
      </c>
      <c r="E56" s="30">
        <f t="shared" si="12"/>
        <v>7.9990099999959057</v>
      </c>
      <c r="F56" s="30">
        <f t="shared" si="12"/>
        <v>0</v>
      </c>
      <c r="G56" s="30">
        <f t="shared" si="12"/>
        <v>0</v>
      </c>
      <c r="H56" s="30">
        <f t="shared" si="12"/>
        <v>-0.59999999999854481</v>
      </c>
      <c r="I56" s="30">
        <f t="shared" si="12"/>
        <v>7.9999999987194315E-2</v>
      </c>
    </row>
  </sheetData>
  <mergeCells count="1">
    <mergeCell ref="B2:F2"/>
  </mergeCells>
  <pageMargins left="0.74803149606299213" right="0.74803149606299213" top="0.98425196850393704" bottom="0.98425196850393704" header="0.51181102362204722" footer="0.51181102362204722"/>
  <pageSetup paperSize="9" scale="51" orientation="landscape" horizontalDpi="300" verticalDpi="300" r:id="rId1"/>
  <headerFooter>
    <oddHeader>&amp;C&amp;"-,Bold"ELR GP Federation Budget Forecast - FY17/18&amp;R&amp;"-,Bold"&amp;22DRAFT</oddHeader>
    <oddFooter xml:space="preserve">&amp;RMay 2017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0"/>
  <sheetViews>
    <sheetView view="pageLayout" topLeftCell="B3" zoomScale="70" zoomScaleNormal="80" zoomScalePageLayoutView="70" workbookViewId="0">
      <selection activeCell="O7" sqref="O7"/>
    </sheetView>
  </sheetViews>
  <sheetFormatPr defaultColWidth="1.125" defaultRowHeight="15.75" x14ac:dyDescent="0.25"/>
  <cols>
    <col min="1" max="1" width="23.5" customWidth="1"/>
    <col min="2" max="14" width="11.5" customWidth="1"/>
    <col min="15" max="15" width="37.25" bestFit="1" customWidth="1"/>
  </cols>
  <sheetData>
    <row r="1" spans="1:16" x14ac:dyDescent="0.25">
      <c r="A1" s="4" t="s">
        <v>26</v>
      </c>
    </row>
    <row r="2" spans="1:16" x14ac:dyDescent="0.25">
      <c r="A2" s="4" t="s">
        <v>55</v>
      </c>
    </row>
    <row r="3" spans="1:16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9" t="s">
        <v>44</v>
      </c>
    </row>
    <row r="4" spans="1:16" x14ac:dyDescent="0.25">
      <c r="A4" s="2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14" customFormat="1" x14ac:dyDescent="0.25">
      <c r="A5" s="10" t="s">
        <v>50</v>
      </c>
      <c r="B5" s="11">
        <f>'17-18'!N48+9586</f>
        <v>52257.253500000108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>
        <f t="shared" ref="N5:N10" si="0">SUM(B5:M5)</f>
        <v>52257.253500000108</v>
      </c>
      <c r="O5" s="12" t="s">
        <v>131</v>
      </c>
    </row>
    <row r="6" spans="1:16" x14ac:dyDescent="0.25">
      <c r="A6" s="6" t="s">
        <v>124</v>
      </c>
      <c r="B6" s="8">
        <f>0.25*330000/12</f>
        <v>6875</v>
      </c>
      <c r="C6" s="8">
        <f t="shared" ref="C6:M6" si="1">0.25*330000/12</f>
        <v>6875</v>
      </c>
      <c r="D6" s="8">
        <f t="shared" si="1"/>
        <v>6875</v>
      </c>
      <c r="E6" s="8">
        <f t="shared" si="1"/>
        <v>6875</v>
      </c>
      <c r="F6" s="8">
        <f t="shared" si="1"/>
        <v>6875</v>
      </c>
      <c r="G6" s="8">
        <f t="shared" si="1"/>
        <v>6875</v>
      </c>
      <c r="H6" s="8">
        <f t="shared" si="1"/>
        <v>6875</v>
      </c>
      <c r="I6" s="8">
        <f t="shared" si="1"/>
        <v>6875</v>
      </c>
      <c r="J6" s="8">
        <f t="shared" si="1"/>
        <v>6875</v>
      </c>
      <c r="K6" s="8">
        <f t="shared" si="1"/>
        <v>6875</v>
      </c>
      <c r="L6" s="8">
        <f t="shared" si="1"/>
        <v>6875</v>
      </c>
      <c r="M6" s="8">
        <f t="shared" si="1"/>
        <v>6875</v>
      </c>
      <c r="N6" s="7">
        <f>SUM(B6:M6)</f>
        <v>82500</v>
      </c>
      <c r="O6" s="1" t="s">
        <v>134</v>
      </c>
      <c r="P6" s="3"/>
    </row>
    <row r="7" spans="1:16" x14ac:dyDescent="0.25">
      <c r="A7" s="6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>
        <f t="shared" si="0"/>
        <v>0</v>
      </c>
      <c r="O7" s="1" t="s">
        <v>62</v>
      </c>
      <c r="P7" s="3"/>
    </row>
    <row r="8" spans="1:16" x14ac:dyDescent="0.25">
      <c r="A8" s="6" t="s">
        <v>33</v>
      </c>
      <c r="B8" s="8">
        <v>16500</v>
      </c>
      <c r="C8" s="8">
        <v>16500</v>
      </c>
      <c r="D8" s="8">
        <v>16500</v>
      </c>
      <c r="E8" s="8">
        <v>16500</v>
      </c>
      <c r="F8" s="8">
        <v>16500</v>
      </c>
      <c r="G8" s="8">
        <v>16500</v>
      </c>
      <c r="H8" s="8">
        <v>16500</v>
      </c>
      <c r="I8" s="8">
        <v>16500</v>
      </c>
      <c r="J8" s="8">
        <v>16500</v>
      </c>
      <c r="K8" s="8">
        <v>16500</v>
      </c>
      <c r="L8" s="8">
        <v>16500</v>
      </c>
      <c r="M8" s="8">
        <v>16500</v>
      </c>
      <c r="N8" s="7">
        <f t="shared" si="0"/>
        <v>198000</v>
      </c>
      <c r="O8" s="1" t="s">
        <v>61</v>
      </c>
    </row>
    <row r="9" spans="1:16" x14ac:dyDescent="0.25">
      <c r="A9" s="6" t="s">
        <v>34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>
        <f t="shared" si="0"/>
        <v>0</v>
      </c>
      <c r="O9" s="1"/>
    </row>
    <row r="10" spans="1:16" s="14" customFormat="1" x14ac:dyDescent="0.25">
      <c r="A10" s="10" t="s">
        <v>51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3">
        <f t="shared" si="0"/>
        <v>0</v>
      </c>
      <c r="O10" s="21" t="s">
        <v>84</v>
      </c>
    </row>
    <row r="11" spans="1:16" x14ac:dyDescent="0.25">
      <c r="A11" s="1" t="s">
        <v>57</v>
      </c>
      <c r="B11" s="8">
        <f>0</f>
        <v>0</v>
      </c>
      <c r="C11" s="8">
        <f>0</f>
        <v>0</v>
      </c>
      <c r="D11" s="8">
        <f>0</f>
        <v>0</v>
      </c>
      <c r="E11" s="8">
        <f>0</f>
        <v>0</v>
      </c>
      <c r="F11" s="8">
        <f>0</f>
        <v>0</v>
      </c>
      <c r="G11" s="8">
        <f>0</f>
        <v>0</v>
      </c>
      <c r="H11" s="8">
        <f>0</f>
        <v>0</v>
      </c>
      <c r="I11" s="8">
        <f>0</f>
        <v>0</v>
      </c>
      <c r="J11" s="8">
        <f>0</f>
        <v>0</v>
      </c>
      <c r="K11" s="8">
        <f>0</f>
        <v>0</v>
      </c>
      <c r="L11" s="8">
        <f>0</f>
        <v>0</v>
      </c>
      <c r="M11" s="8">
        <f>0</f>
        <v>0</v>
      </c>
      <c r="N11" s="7">
        <f>SUM(B11:M11)</f>
        <v>0</v>
      </c>
      <c r="O11" s="1" t="s">
        <v>56</v>
      </c>
    </row>
    <row r="12" spans="1:16" x14ac:dyDescent="0.25">
      <c r="A12" s="6" t="s">
        <v>53</v>
      </c>
      <c r="B12" s="8">
        <f>33000/12</f>
        <v>2750</v>
      </c>
      <c r="C12" s="8">
        <f t="shared" ref="C12:M12" si="2">33000/12</f>
        <v>2750</v>
      </c>
      <c r="D12" s="8">
        <f t="shared" si="2"/>
        <v>2750</v>
      </c>
      <c r="E12" s="8">
        <f t="shared" si="2"/>
        <v>2750</v>
      </c>
      <c r="F12" s="8">
        <f t="shared" si="2"/>
        <v>2750</v>
      </c>
      <c r="G12" s="8">
        <f t="shared" si="2"/>
        <v>2750</v>
      </c>
      <c r="H12" s="8">
        <f t="shared" si="2"/>
        <v>2750</v>
      </c>
      <c r="I12" s="8">
        <f t="shared" si="2"/>
        <v>2750</v>
      </c>
      <c r="J12" s="8">
        <f t="shared" si="2"/>
        <v>2750</v>
      </c>
      <c r="K12" s="8">
        <f t="shared" si="2"/>
        <v>2750</v>
      </c>
      <c r="L12" s="8">
        <f t="shared" si="2"/>
        <v>2750</v>
      </c>
      <c r="M12" s="8">
        <f t="shared" si="2"/>
        <v>2750</v>
      </c>
      <c r="N12" s="7">
        <f>SUM(B12:M12)</f>
        <v>33000</v>
      </c>
      <c r="O12" s="1" t="s">
        <v>128</v>
      </c>
    </row>
    <row r="13" spans="1:16" x14ac:dyDescent="0.25">
      <c r="A13" s="6" t="s">
        <v>54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f>SUM(B13:M13)</f>
        <v>0</v>
      </c>
      <c r="O13" s="1" t="s">
        <v>56</v>
      </c>
    </row>
    <row r="14" spans="1:16" x14ac:dyDescent="0.2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  <c r="O14" s="1"/>
    </row>
    <row r="15" spans="1:16" s="5" customFormat="1" x14ac:dyDescent="0.25">
      <c r="A15" s="2" t="s">
        <v>43</v>
      </c>
      <c r="B15" s="7">
        <f t="shared" ref="B15:N15" si="3">SUM(B5:B14)</f>
        <v>78382.253500000108</v>
      </c>
      <c r="C15" s="7">
        <f t="shared" si="3"/>
        <v>26125</v>
      </c>
      <c r="D15" s="7">
        <f t="shared" si="3"/>
        <v>26125</v>
      </c>
      <c r="E15" s="7">
        <f t="shared" si="3"/>
        <v>26125</v>
      </c>
      <c r="F15" s="7">
        <f t="shared" si="3"/>
        <v>26125</v>
      </c>
      <c r="G15" s="7">
        <f t="shared" si="3"/>
        <v>26125</v>
      </c>
      <c r="H15" s="7">
        <f t="shared" si="3"/>
        <v>26125</v>
      </c>
      <c r="I15" s="7">
        <f t="shared" si="3"/>
        <v>26125</v>
      </c>
      <c r="J15" s="7">
        <f t="shared" si="3"/>
        <v>26125</v>
      </c>
      <c r="K15" s="7">
        <f t="shared" si="3"/>
        <v>26125</v>
      </c>
      <c r="L15" s="7">
        <f t="shared" si="3"/>
        <v>26125</v>
      </c>
      <c r="M15" s="7">
        <f t="shared" si="3"/>
        <v>26125</v>
      </c>
      <c r="N15" s="7">
        <f t="shared" si="3"/>
        <v>365757.25350000011</v>
      </c>
      <c r="O15" s="2"/>
    </row>
    <row r="16" spans="1:16" x14ac:dyDescent="0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  <c r="O16" s="1"/>
    </row>
    <row r="17" spans="1:15" x14ac:dyDescent="0.25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/>
      <c r="O17" s="1"/>
    </row>
    <row r="18" spans="1:15" x14ac:dyDescent="0.25">
      <c r="A18" s="2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"/>
      <c r="O18" s="1"/>
    </row>
    <row r="19" spans="1:15" x14ac:dyDescent="0.25">
      <c r="A19" s="2" t="s">
        <v>39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/>
      <c r="O19" s="1"/>
    </row>
    <row r="20" spans="1:15" x14ac:dyDescent="0.25">
      <c r="A20" s="6" t="s">
        <v>41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>
        <f t="shared" ref="N20:N47" si="4">SUM(B20:M20)</f>
        <v>0</v>
      </c>
      <c r="O20" s="1"/>
    </row>
    <row r="21" spans="1:15" x14ac:dyDescent="0.25">
      <c r="A21" s="6" t="s">
        <v>33</v>
      </c>
      <c r="B21" s="8">
        <f t="shared" ref="B21:M21" si="5">B8*0.95</f>
        <v>15675</v>
      </c>
      <c r="C21" s="8">
        <f t="shared" si="5"/>
        <v>15675</v>
      </c>
      <c r="D21" s="8">
        <f t="shared" si="5"/>
        <v>15675</v>
      </c>
      <c r="E21" s="8">
        <f t="shared" si="5"/>
        <v>15675</v>
      </c>
      <c r="F21" s="8">
        <f t="shared" si="5"/>
        <v>15675</v>
      </c>
      <c r="G21" s="8">
        <f t="shared" si="5"/>
        <v>15675</v>
      </c>
      <c r="H21" s="8">
        <f t="shared" si="5"/>
        <v>15675</v>
      </c>
      <c r="I21" s="8">
        <f t="shared" si="5"/>
        <v>15675</v>
      </c>
      <c r="J21" s="8">
        <f t="shared" si="5"/>
        <v>15675</v>
      </c>
      <c r="K21" s="8">
        <f t="shared" si="5"/>
        <v>15675</v>
      </c>
      <c r="L21" s="8">
        <f t="shared" si="5"/>
        <v>15675</v>
      </c>
      <c r="M21" s="8">
        <f t="shared" si="5"/>
        <v>15675</v>
      </c>
      <c r="N21" s="7">
        <f t="shared" si="4"/>
        <v>188100</v>
      </c>
      <c r="O21" s="1"/>
    </row>
    <row r="22" spans="1:15" x14ac:dyDescent="0.2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>
        <f t="shared" si="4"/>
        <v>0</v>
      </c>
      <c r="O22" s="1"/>
    </row>
    <row r="23" spans="1:15" x14ac:dyDescent="0.25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>
        <f t="shared" si="4"/>
        <v>0</v>
      </c>
      <c r="O23" s="1"/>
    </row>
    <row r="24" spans="1:15" s="5" customFormat="1" x14ac:dyDescent="0.25">
      <c r="A24" s="2" t="s">
        <v>42</v>
      </c>
      <c r="B24" s="7">
        <f t="shared" ref="B24:L24" si="6">SUM(B21:B23)</f>
        <v>15675</v>
      </c>
      <c r="C24" s="7">
        <f t="shared" si="6"/>
        <v>15675</v>
      </c>
      <c r="D24" s="7">
        <f t="shared" si="6"/>
        <v>15675</v>
      </c>
      <c r="E24" s="7">
        <f t="shared" si="6"/>
        <v>15675</v>
      </c>
      <c r="F24" s="7">
        <f t="shared" si="6"/>
        <v>15675</v>
      </c>
      <c r="G24" s="7">
        <f t="shared" si="6"/>
        <v>15675</v>
      </c>
      <c r="H24" s="7">
        <f t="shared" si="6"/>
        <v>15675</v>
      </c>
      <c r="I24" s="7">
        <f t="shared" si="6"/>
        <v>15675</v>
      </c>
      <c r="J24" s="7">
        <f t="shared" si="6"/>
        <v>15675</v>
      </c>
      <c r="K24" s="7">
        <f t="shared" si="6"/>
        <v>15675</v>
      </c>
      <c r="L24" s="7">
        <f t="shared" si="6"/>
        <v>15675</v>
      </c>
      <c r="M24" s="7">
        <f>SUM(M20:M23)</f>
        <v>15675</v>
      </c>
      <c r="N24" s="7">
        <f>SUM(N20:N23)</f>
        <v>188100</v>
      </c>
      <c r="O24" s="2"/>
    </row>
    <row r="25" spans="1:15" x14ac:dyDescent="0.2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>
        <f t="shared" si="4"/>
        <v>0</v>
      </c>
      <c r="O25" s="1"/>
    </row>
    <row r="26" spans="1:15" x14ac:dyDescent="0.25">
      <c r="A26" s="2" t="s">
        <v>38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f t="shared" si="4"/>
        <v>0</v>
      </c>
      <c r="O26" s="1"/>
    </row>
    <row r="27" spans="1:15" x14ac:dyDescent="0.25">
      <c r="A27" s="1" t="s">
        <v>21</v>
      </c>
      <c r="B27" s="8">
        <v>1850</v>
      </c>
      <c r="C27" s="8">
        <v>1850</v>
      </c>
      <c r="D27" s="8">
        <v>1850</v>
      </c>
      <c r="E27" s="8">
        <v>1850</v>
      </c>
      <c r="F27" s="8">
        <v>1850</v>
      </c>
      <c r="G27" s="8">
        <v>1850</v>
      </c>
      <c r="H27" s="8">
        <v>1850</v>
      </c>
      <c r="I27" s="8">
        <v>1850</v>
      </c>
      <c r="J27" s="8">
        <v>1850</v>
      </c>
      <c r="K27" s="8">
        <v>1850</v>
      </c>
      <c r="L27" s="8">
        <v>1850</v>
      </c>
      <c r="M27" s="8">
        <v>1850</v>
      </c>
      <c r="N27" s="7">
        <f t="shared" si="4"/>
        <v>22200</v>
      </c>
      <c r="O27" s="1"/>
    </row>
    <row r="28" spans="1:15" x14ac:dyDescent="0.25">
      <c r="A28" s="1" t="s">
        <v>32</v>
      </c>
      <c r="B28" s="8"/>
      <c r="C28" s="8"/>
      <c r="D28" s="8">
        <v>1000</v>
      </c>
      <c r="E28" s="8"/>
      <c r="F28" s="8"/>
      <c r="G28" s="8">
        <v>1000</v>
      </c>
      <c r="H28" s="8"/>
      <c r="I28" s="8"/>
      <c r="J28" s="8"/>
      <c r="K28" s="8">
        <v>1000</v>
      </c>
      <c r="L28" s="8"/>
      <c r="M28" s="8"/>
      <c r="N28" s="7">
        <f t="shared" si="4"/>
        <v>3000</v>
      </c>
      <c r="O28" s="1"/>
    </row>
    <row r="29" spans="1:15" x14ac:dyDescent="0.25">
      <c r="A29" s="1" t="s">
        <v>29</v>
      </c>
      <c r="B29" s="8">
        <f t="shared" ref="B29:L29" si="7">(75000*1.28)/12</f>
        <v>8000</v>
      </c>
      <c r="C29" s="8">
        <f t="shared" si="7"/>
        <v>8000</v>
      </c>
      <c r="D29" s="8">
        <f t="shared" si="7"/>
        <v>8000</v>
      </c>
      <c r="E29" s="8">
        <f t="shared" si="7"/>
        <v>8000</v>
      </c>
      <c r="F29" s="8">
        <f t="shared" si="7"/>
        <v>8000</v>
      </c>
      <c r="G29" s="8">
        <f t="shared" si="7"/>
        <v>8000</v>
      </c>
      <c r="H29" s="8">
        <f t="shared" si="7"/>
        <v>8000</v>
      </c>
      <c r="I29" s="8">
        <f t="shared" si="7"/>
        <v>8000</v>
      </c>
      <c r="J29" s="8">
        <f t="shared" si="7"/>
        <v>8000</v>
      </c>
      <c r="K29" s="8">
        <f t="shared" si="7"/>
        <v>8000</v>
      </c>
      <c r="L29" s="8">
        <f t="shared" si="7"/>
        <v>8000</v>
      </c>
      <c r="M29" s="8">
        <f>(75000*1.28)/12</f>
        <v>8000</v>
      </c>
      <c r="N29" s="7">
        <f t="shared" si="4"/>
        <v>96000</v>
      </c>
      <c r="O29" s="1"/>
    </row>
    <row r="30" spans="1:15" x14ac:dyDescent="0.25">
      <c r="A30" s="1" t="s">
        <v>14</v>
      </c>
      <c r="B30" s="8">
        <v>130</v>
      </c>
      <c r="C30" s="8">
        <v>130</v>
      </c>
      <c r="D30" s="8">
        <v>130</v>
      </c>
      <c r="E30" s="8">
        <v>130</v>
      </c>
      <c r="F30" s="8">
        <v>130</v>
      </c>
      <c r="G30" s="8">
        <v>130</v>
      </c>
      <c r="H30" s="8">
        <v>130</v>
      </c>
      <c r="I30" s="8">
        <v>130</v>
      </c>
      <c r="J30" s="8">
        <v>130</v>
      </c>
      <c r="K30" s="8">
        <v>130</v>
      </c>
      <c r="L30" s="8">
        <v>130</v>
      </c>
      <c r="M30" s="8">
        <v>130</v>
      </c>
      <c r="N30" s="7">
        <f t="shared" si="4"/>
        <v>1560</v>
      </c>
      <c r="O30" s="1"/>
    </row>
    <row r="31" spans="1:15" x14ac:dyDescent="0.25">
      <c r="A31" s="1" t="s">
        <v>15</v>
      </c>
      <c r="B31" s="8">
        <f>1300/3</f>
        <v>433.33333333333331</v>
      </c>
      <c r="C31" s="8">
        <f t="shared" ref="C31:M31" si="8">1300/3</f>
        <v>433.33333333333331</v>
      </c>
      <c r="D31" s="8">
        <f t="shared" si="8"/>
        <v>433.33333333333331</v>
      </c>
      <c r="E31" s="8">
        <f t="shared" si="8"/>
        <v>433.33333333333331</v>
      </c>
      <c r="F31" s="8">
        <f t="shared" si="8"/>
        <v>433.33333333333331</v>
      </c>
      <c r="G31" s="8">
        <f t="shared" si="8"/>
        <v>433.33333333333331</v>
      </c>
      <c r="H31" s="8">
        <f t="shared" si="8"/>
        <v>433.33333333333331</v>
      </c>
      <c r="I31" s="8">
        <f t="shared" si="8"/>
        <v>433.33333333333331</v>
      </c>
      <c r="J31" s="8">
        <f t="shared" si="8"/>
        <v>433.33333333333331</v>
      </c>
      <c r="K31" s="8">
        <f t="shared" si="8"/>
        <v>433.33333333333331</v>
      </c>
      <c r="L31" s="8">
        <f t="shared" si="8"/>
        <v>433.33333333333331</v>
      </c>
      <c r="M31" s="8">
        <f t="shared" si="8"/>
        <v>433.33333333333331</v>
      </c>
      <c r="N31" s="7">
        <f t="shared" si="4"/>
        <v>5200</v>
      </c>
      <c r="O31" s="1"/>
    </row>
    <row r="32" spans="1:15" x14ac:dyDescent="0.25">
      <c r="A32" s="1" t="s">
        <v>16</v>
      </c>
      <c r="B32" s="8">
        <v>375</v>
      </c>
      <c r="C32" s="8">
        <v>375</v>
      </c>
      <c r="D32" s="8">
        <v>375</v>
      </c>
      <c r="E32" s="8">
        <v>375</v>
      </c>
      <c r="F32" s="8">
        <v>375</v>
      </c>
      <c r="G32" s="8">
        <v>375</v>
      </c>
      <c r="H32" s="8">
        <v>375</v>
      </c>
      <c r="I32" s="8">
        <v>375</v>
      </c>
      <c r="J32" s="8">
        <v>375</v>
      </c>
      <c r="K32" s="8">
        <v>375</v>
      </c>
      <c r="L32" s="8">
        <v>375</v>
      </c>
      <c r="M32" s="8">
        <v>375</v>
      </c>
      <c r="N32" s="7">
        <f t="shared" si="4"/>
        <v>4500</v>
      </c>
      <c r="O32" s="1"/>
    </row>
    <row r="33" spans="1:15" x14ac:dyDescent="0.25">
      <c r="A33" s="1" t="s">
        <v>28</v>
      </c>
      <c r="B33" s="8">
        <v>70</v>
      </c>
      <c r="C33" s="8">
        <v>70</v>
      </c>
      <c r="D33" s="8">
        <v>70</v>
      </c>
      <c r="E33" s="8">
        <v>70</v>
      </c>
      <c r="F33" s="8">
        <v>70</v>
      </c>
      <c r="G33" s="8">
        <v>70</v>
      </c>
      <c r="H33" s="8">
        <v>70</v>
      </c>
      <c r="I33" s="8">
        <v>70</v>
      </c>
      <c r="J33" s="8">
        <v>70</v>
      </c>
      <c r="K33" s="8">
        <v>70</v>
      </c>
      <c r="L33" s="8">
        <v>70</v>
      </c>
      <c r="M33" s="8">
        <v>70</v>
      </c>
      <c r="N33" s="7">
        <f t="shared" si="4"/>
        <v>840</v>
      </c>
      <c r="O33" s="1"/>
    </row>
    <row r="34" spans="1:15" x14ac:dyDescent="0.25">
      <c r="A34" s="1" t="s">
        <v>49</v>
      </c>
      <c r="B34" s="8">
        <f>350*1.2</f>
        <v>420</v>
      </c>
      <c r="C34" s="8">
        <f t="shared" ref="C34:M34" si="9">350*1.2</f>
        <v>420</v>
      </c>
      <c r="D34" s="8">
        <f t="shared" si="9"/>
        <v>420</v>
      </c>
      <c r="E34" s="8">
        <f t="shared" si="9"/>
        <v>420</v>
      </c>
      <c r="F34" s="8">
        <f t="shared" si="9"/>
        <v>420</v>
      </c>
      <c r="G34" s="8">
        <f t="shared" si="9"/>
        <v>420</v>
      </c>
      <c r="H34" s="8">
        <f t="shared" si="9"/>
        <v>420</v>
      </c>
      <c r="I34" s="8">
        <f t="shared" si="9"/>
        <v>420</v>
      </c>
      <c r="J34" s="8">
        <f t="shared" si="9"/>
        <v>420</v>
      </c>
      <c r="K34" s="8">
        <f t="shared" si="9"/>
        <v>420</v>
      </c>
      <c r="L34" s="8">
        <f t="shared" si="9"/>
        <v>420</v>
      </c>
      <c r="M34" s="8">
        <f t="shared" si="9"/>
        <v>420</v>
      </c>
      <c r="N34" s="7">
        <f t="shared" si="4"/>
        <v>5040</v>
      </c>
      <c r="O34" s="1" t="s">
        <v>126</v>
      </c>
    </row>
    <row r="35" spans="1:15" x14ac:dyDescent="0.25">
      <c r="A35" s="1" t="s">
        <v>83</v>
      </c>
      <c r="B35" s="8">
        <f>90*4*4</f>
        <v>1440</v>
      </c>
      <c r="C35" s="8">
        <f t="shared" ref="C35:M35" si="10">90*4*4</f>
        <v>1440</v>
      </c>
      <c r="D35" s="8">
        <f t="shared" si="10"/>
        <v>1440</v>
      </c>
      <c r="E35" s="8">
        <f t="shared" si="10"/>
        <v>1440</v>
      </c>
      <c r="F35" s="8">
        <f t="shared" si="10"/>
        <v>1440</v>
      </c>
      <c r="G35" s="8">
        <f t="shared" si="10"/>
        <v>1440</v>
      </c>
      <c r="H35" s="8">
        <f t="shared" si="10"/>
        <v>1440</v>
      </c>
      <c r="I35" s="8">
        <f t="shared" si="10"/>
        <v>1440</v>
      </c>
      <c r="J35" s="8">
        <f t="shared" si="10"/>
        <v>1440</v>
      </c>
      <c r="K35" s="8">
        <f t="shared" si="10"/>
        <v>1440</v>
      </c>
      <c r="L35" s="8">
        <f t="shared" si="10"/>
        <v>1440</v>
      </c>
      <c r="M35" s="8">
        <f t="shared" si="10"/>
        <v>1440</v>
      </c>
      <c r="N35" s="7">
        <f t="shared" si="4"/>
        <v>17280</v>
      </c>
      <c r="O35" s="1"/>
    </row>
    <row r="36" spans="1:15" x14ac:dyDescent="0.25">
      <c r="A36" s="1" t="s">
        <v>46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 t="shared" si="4"/>
        <v>0</v>
      </c>
      <c r="O36" s="1"/>
    </row>
    <row r="37" spans="1:15" x14ac:dyDescent="0.25">
      <c r="A37" s="1" t="s">
        <v>23</v>
      </c>
      <c r="B37" s="8">
        <v>125</v>
      </c>
      <c r="C37" s="8">
        <v>125</v>
      </c>
      <c r="D37" s="8">
        <v>125</v>
      </c>
      <c r="E37" s="8">
        <v>125</v>
      </c>
      <c r="F37" s="8">
        <v>125</v>
      </c>
      <c r="G37" s="8">
        <v>125</v>
      </c>
      <c r="H37" s="8">
        <v>125</v>
      </c>
      <c r="I37" s="8">
        <v>125</v>
      </c>
      <c r="J37" s="8">
        <v>125</v>
      </c>
      <c r="K37" s="8">
        <v>125</v>
      </c>
      <c r="L37" s="8">
        <v>125</v>
      </c>
      <c r="M37" s="8">
        <v>125</v>
      </c>
      <c r="N37" s="7">
        <f t="shared" si="4"/>
        <v>1500</v>
      </c>
      <c r="O37" s="1"/>
    </row>
    <row r="38" spans="1:15" x14ac:dyDescent="0.25">
      <c r="A38" s="1" t="s">
        <v>58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3000</v>
      </c>
      <c r="N38" s="7">
        <f t="shared" si="4"/>
        <v>3000</v>
      </c>
      <c r="O38" s="1"/>
    </row>
    <row r="39" spans="1:15" x14ac:dyDescent="0.25">
      <c r="A39" s="1" t="s">
        <v>17</v>
      </c>
      <c r="B39" s="8">
        <f>5000/12</f>
        <v>416.66666666666669</v>
      </c>
      <c r="C39" s="8">
        <f t="shared" ref="C39:M39" si="11">5000/12</f>
        <v>416.66666666666669</v>
      </c>
      <c r="D39" s="8">
        <f t="shared" si="11"/>
        <v>416.66666666666669</v>
      </c>
      <c r="E39" s="8">
        <f t="shared" si="11"/>
        <v>416.66666666666669</v>
      </c>
      <c r="F39" s="8">
        <f t="shared" si="11"/>
        <v>416.66666666666669</v>
      </c>
      <c r="G39" s="8">
        <f>5000/12+1000</f>
        <v>1416.6666666666667</v>
      </c>
      <c r="H39" s="8">
        <f t="shared" si="11"/>
        <v>416.66666666666669</v>
      </c>
      <c r="I39" s="8">
        <f t="shared" si="11"/>
        <v>416.66666666666669</v>
      </c>
      <c r="J39" s="8">
        <f t="shared" si="11"/>
        <v>416.66666666666669</v>
      </c>
      <c r="K39" s="8">
        <f t="shared" si="11"/>
        <v>416.66666666666669</v>
      </c>
      <c r="L39" s="8">
        <f t="shared" si="11"/>
        <v>416.66666666666669</v>
      </c>
      <c r="M39" s="8">
        <f t="shared" si="11"/>
        <v>416.66666666666669</v>
      </c>
      <c r="N39" s="7">
        <f t="shared" si="4"/>
        <v>6000.0000000000009</v>
      </c>
      <c r="O39" s="1" t="s">
        <v>59</v>
      </c>
    </row>
    <row r="40" spans="1:15" x14ac:dyDescent="0.25">
      <c r="A40" s="1" t="s">
        <v>25</v>
      </c>
      <c r="B40" s="8">
        <v>50</v>
      </c>
      <c r="C40" s="8">
        <v>50</v>
      </c>
      <c r="D40" s="8">
        <v>50</v>
      </c>
      <c r="E40" s="8">
        <v>50</v>
      </c>
      <c r="F40" s="8">
        <v>50</v>
      </c>
      <c r="G40" s="8">
        <v>50</v>
      </c>
      <c r="H40" s="8">
        <v>50</v>
      </c>
      <c r="I40" s="8">
        <v>50</v>
      </c>
      <c r="J40" s="8">
        <v>50</v>
      </c>
      <c r="K40" s="8">
        <v>50</v>
      </c>
      <c r="L40" s="8">
        <v>50</v>
      </c>
      <c r="M40" s="8">
        <v>50</v>
      </c>
      <c r="N40" s="7">
        <f t="shared" si="4"/>
        <v>600</v>
      </c>
      <c r="O40" s="1"/>
    </row>
    <row r="41" spans="1:15" x14ac:dyDescent="0.25">
      <c r="A41" s="1" t="s">
        <v>18</v>
      </c>
      <c r="B41" s="8"/>
      <c r="C41" s="8"/>
      <c r="D41" s="8">
        <v>1000</v>
      </c>
      <c r="E41" s="8"/>
      <c r="F41" s="8"/>
      <c r="G41" s="8">
        <v>1000</v>
      </c>
      <c r="H41" s="8"/>
      <c r="I41" s="8"/>
      <c r="J41" s="8"/>
      <c r="K41" s="8"/>
      <c r="L41" s="8"/>
      <c r="M41" s="8">
        <v>1000</v>
      </c>
      <c r="N41" s="7">
        <f t="shared" si="4"/>
        <v>3000</v>
      </c>
      <c r="O41" s="1"/>
    </row>
    <row r="42" spans="1:15" x14ac:dyDescent="0.25">
      <c r="A42" s="1" t="s">
        <v>22</v>
      </c>
      <c r="B42" s="8">
        <v>100</v>
      </c>
      <c r="C42" s="8">
        <v>100</v>
      </c>
      <c r="D42" s="8">
        <v>100</v>
      </c>
      <c r="E42" s="8">
        <v>100</v>
      </c>
      <c r="F42" s="8">
        <v>100</v>
      </c>
      <c r="G42" s="8">
        <v>100</v>
      </c>
      <c r="H42" s="8">
        <v>100</v>
      </c>
      <c r="I42" s="8">
        <v>100</v>
      </c>
      <c r="J42" s="8">
        <v>100</v>
      </c>
      <c r="K42" s="8">
        <v>100</v>
      </c>
      <c r="L42" s="8">
        <v>100</v>
      </c>
      <c r="M42" s="8">
        <v>100</v>
      </c>
      <c r="N42" s="7">
        <f t="shared" si="4"/>
        <v>1200</v>
      </c>
      <c r="O42" s="1"/>
    </row>
    <row r="43" spans="1:15" x14ac:dyDescent="0.25">
      <c r="A43" s="1" t="s">
        <v>30</v>
      </c>
      <c r="B43" s="8"/>
      <c r="C43" s="8"/>
      <c r="D43" s="8">
        <v>700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f t="shared" si="4"/>
        <v>700</v>
      </c>
      <c r="O43" s="1"/>
    </row>
    <row r="44" spans="1:15" x14ac:dyDescent="0.25">
      <c r="A44" s="1" t="s">
        <v>31</v>
      </c>
      <c r="B44" s="8"/>
      <c r="C44" s="8"/>
      <c r="D44" s="8">
        <v>2000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 t="shared" si="4"/>
        <v>2000</v>
      </c>
      <c r="O44" s="1"/>
    </row>
    <row r="45" spans="1:15" x14ac:dyDescent="0.25">
      <c r="A45" s="1" t="s">
        <v>60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7">
        <f t="shared" si="4"/>
        <v>0</v>
      </c>
      <c r="O45" s="1"/>
    </row>
    <row r="46" spans="1:15" s="5" customFormat="1" x14ac:dyDescent="0.25">
      <c r="A46" s="2" t="s">
        <v>42</v>
      </c>
      <c r="B46" s="7">
        <f t="shared" ref="B46:I46" si="12">SUM(B27:B44)</f>
        <v>13410</v>
      </c>
      <c r="C46" s="7">
        <f t="shared" si="12"/>
        <v>13410</v>
      </c>
      <c r="D46" s="7">
        <f t="shared" si="12"/>
        <v>18110</v>
      </c>
      <c r="E46" s="7">
        <f t="shared" si="12"/>
        <v>13410</v>
      </c>
      <c r="F46" s="7">
        <f t="shared" si="12"/>
        <v>13410</v>
      </c>
      <c r="G46" s="7">
        <f t="shared" si="12"/>
        <v>16410</v>
      </c>
      <c r="H46" s="7">
        <f t="shared" si="12"/>
        <v>13410</v>
      </c>
      <c r="I46" s="7">
        <f t="shared" si="12"/>
        <v>13410</v>
      </c>
      <c r="J46" s="7">
        <f>SUM(J27:J45)</f>
        <v>13410</v>
      </c>
      <c r="K46" s="7">
        <f>SUM(K27:K44)</f>
        <v>14410</v>
      </c>
      <c r="L46" s="7">
        <f>SUM(L27:L44)</f>
        <v>13410</v>
      </c>
      <c r="M46" s="7">
        <f>SUM(M27:M44)</f>
        <v>17410</v>
      </c>
      <c r="N46" s="7">
        <f>SUM(N27:N45)</f>
        <v>173620</v>
      </c>
      <c r="O46" s="2"/>
    </row>
    <row r="47" spans="1:15" x14ac:dyDescent="0.25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7">
        <f t="shared" si="4"/>
        <v>0</v>
      </c>
      <c r="O47" s="1"/>
    </row>
    <row r="48" spans="1:15" x14ac:dyDescent="0.25">
      <c r="A48" s="2" t="s">
        <v>19</v>
      </c>
      <c r="B48" s="7">
        <f t="shared" ref="B48:N48" si="13">B46+B24</f>
        <v>29085</v>
      </c>
      <c r="C48" s="7">
        <f t="shared" si="13"/>
        <v>29085</v>
      </c>
      <c r="D48" s="7">
        <f t="shared" si="13"/>
        <v>33785</v>
      </c>
      <c r="E48" s="7">
        <f t="shared" si="13"/>
        <v>29085</v>
      </c>
      <c r="F48" s="7">
        <f t="shared" si="13"/>
        <v>29085</v>
      </c>
      <c r="G48" s="7">
        <f t="shared" si="13"/>
        <v>32085</v>
      </c>
      <c r="H48" s="7">
        <f t="shared" si="13"/>
        <v>29085</v>
      </c>
      <c r="I48" s="7">
        <f t="shared" si="13"/>
        <v>29085</v>
      </c>
      <c r="J48" s="7">
        <f t="shared" si="13"/>
        <v>29085</v>
      </c>
      <c r="K48" s="7">
        <f t="shared" si="13"/>
        <v>30085</v>
      </c>
      <c r="L48" s="7">
        <f t="shared" si="13"/>
        <v>29085</v>
      </c>
      <c r="M48" s="7">
        <f t="shared" si="13"/>
        <v>33085</v>
      </c>
      <c r="N48" s="7">
        <f t="shared" si="13"/>
        <v>361720</v>
      </c>
      <c r="O48" s="1"/>
    </row>
    <row r="49" spans="1:15" x14ac:dyDescent="0.25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"/>
    </row>
    <row r="50" spans="1:15" x14ac:dyDescent="0.25">
      <c r="A50" s="2" t="s">
        <v>20</v>
      </c>
      <c r="B50" s="7">
        <f t="shared" ref="B50:N50" si="14">B15-B48</f>
        <v>49297.253500000108</v>
      </c>
      <c r="C50" s="7">
        <f t="shared" si="14"/>
        <v>-2960</v>
      </c>
      <c r="D50" s="7">
        <f t="shared" si="14"/>
        <v>-7660</v>
      </c>
      <c r="E50" s="7">
        <f t="shared" si="14"/>
        <v>-2960</v>
      </c>
      <c r="F50" s="7">
        <f t="shared" si="14"/>
        <v>-2960</v>
      </c>
      <c r="G50" s="7">
        <f t="shared" si="14"/>
        <v>-5960</v>
      </c>
      <c r="H50" s="7">
        <f t="shared" si="14"/>
        <v>-2960</v>
      </c>
      <c r="I50" s="7">
        <f t="shared" si="14"/>
        <v>-2960</v>
      </c>
      <c r="J50" s="7">
        <f t="shared" si="14"/>
        <v>-2960</v>
      </c>
      <c r="K50" s="7">
        <f t="shared" si="14"/>
        <v>-3960</v>
      </c>
      <c r="L50" s="7">
        <f t="shared" si="14"/>
        <v>-2960</v>
      </c>
      <c r="M50" s="7">
        <f t="shared" si="14"/>
        <v>-6960</v>
      </c>
      <c r="N50" s="7">
        <f t="shared" si="14"/>
        <v>4037.253500000108</v>
      </c>
      <c r="O50" s="1"/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  <headerFooter>
    <oddHeader>&amp;CELR GP Federation Budget Forecast - FY18/19&amp;R&amp;"-,Bold"&amp;22DRAFT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abSelected="1" view="pageLayout" zoomScaleNormal="100" workbookViewId="0">
      <selection activeCell="A2" sqref="A2:F23"/>
    </sheetView>
  </sheetViews>
  <sheetFormatPr defaultRowHeight="15" x14ac:dyDescent="0.25"/>
  <cols>
    <col min="1" max="1" width="35.25" style="18" customWidth="1"/>
    <col min="2" max="2" width="13.5" style="18" customWidth="1"/>
    <col min="3" max="6" width="11" style="18" bestFit="1" customWidth="1"/>
    <col min="7" max="7" width="31.125" style="18" customWidth="1"/>
    <col min="8" max="16384" width="9" style="18"/>
  </cols>
  <sheetData>
    <row r="2" spans="1:7" x14ac:dyDescent="0.25">
      <c r="A2" s="16"/>
      <c r="B2" s="16"/>
      <c r="C2" s="17" t="s">
        <v>63</v>
      </c>
      <c r="D2" s="17" t="s">
        <v>64</v>
      </c>
      <c r="E2" s="17" t="s">
        <v>116</v>
      </c>
      <c r="F2" s="17" t="s">
        <v>103</v>
      </c>
      <c r="G2" s="17" t="s">
        <v>44</v>
      </c>
    </row>
    <row r="3" spans="1:7" x14ac:dyDescent="0.25">
      <c r="A3" s="17" t="s">
        <v>73</v>
      </c>
      <c r="B3" s="17" t="s">
        <v>67</v>
      </c>
      <c r="C3" s="19"/>
      <c r="D3" s="19"/>
      <c r="E3" s="19"/>
      <c r="F3" s="16"/>
      <c r="G3" s="33"/>
    </row>
    <row r="4" spans="1:7" x14ac:dyDescent="0.25">
      <c r="A4" s="16" t="s">
        <v>66</v>
      </c>
      <c r="B4" s="16" t="s">
        <v>68</v>
      </c>
      <c r="C4" s="40">
        <v>200000</v>
      </c>
      <c r="D4" s="40">
        <v>200000</v>
      </c>
      <c r="E4" s="40">
        <v>200000</v>
      </c>
      <c r="F4" s="40">
        <f>SUM(C4:E4)</f>
        <v>600000</v>
      </c>
      <c r="G4" s="16"/>
    </row>
    <row r="5" spans="1:7" x14ac:dyDescent="0.25">
      <c r="A5" s="16" t="s">
        <v>78</v>
      </c>
      <c r="B5" s="16" t="s">
        <v>69</v>
      </c>
      <c r="C5" s="40">
        <v>36000</v>
      </c>
      <c r="D5" s="40">
        <v>45000</v>
      </c>
      <c r="E5" s="40">
        <v>0</v>
      </c>
      <c r="F5" s="40">
        <f t="shared" ref="F5:F12" si="0">SUM(C5:E5)</f>
        <v>81000</v>
      </c>
      <c r="G5" s="16"/>
    </row>
    <row r="6" spans="1:7" x14ac:dyDescent="0.25">
      <c r="A6" s="16" t="s">
        <v>79</v>
      </c>
      <c r="B6" s="16" t="s">
        <v>70</v>
      </c>
      <c r="C6" s="40">
        <v>102000</v>
      </c>
      <c r="D6" s="40">
        <v>0</v>
      </c>
      <c r="E6" s="40">
        <v>0</v>
      </c>
      <c r="F6" s="40">
        <f t="shared" si="0"/>
        <v>102000</v>
      </c>
      <c r="G6" s="16"/>
    </row>
    <row r="7" spans="1:7" x14ac:dyDescent="0.25">
      <c r="A7" s="16" t="s">
        <v>77</v>
      </c>
      <c r="B7" s="16" t="s">
        <v>71</v>
      </c>
      <c r="C7" s="40">
        <v>82000</v>
      </c>
      <c r="D7" s="40">
        <v>0</v>
      </c>
      <c r="E7" s="40">
        <v>0</v>
      </c>
      <c r="F7" s="40">
        <f t="shared" si="0"/>
        <v>82000</v>
      </c>
      <c r="G7" s="16"/>
    </row>
    <row r="8" spans="1:7" x14ac:dyDescent="0.25">
      <c r="A8" s="16" t="s">
        <v>80</v>
      </c>
      <c r="B8" s="16" t="s">
        <v>70</v>
      </c>
      <c r="C8" s="40">
        <v>8500</v>
      </c>
      <c r="D8" s="40">
        <v>0</v>
      </c>
      <c r="E8" s="40">
        <v>0</v>
      </c>
      <c r="F8" s="40">
        <f t="shared" si="0"/>
        <v>8500</v>
      </c>
      <c r="G8" s="16"/>
    </row>
    <row r="9" spans="1:7" x14ac:dyDescent="0.25">
      <c r="A9" s="16" t="s">
        <v>81</v>
      </c>
      <c r="B9" s="16" t="s">
        <v>72</v>
      </c>
      <c r="C9" s="40">
        <v>33000</v>
      </c>
      <c r="D9" s="40">
        <v>0</v>
      </c>
      <c r="E9" s="40">
        <v>0</v>
      </c>
      <c r="F9" s="40">
        <f t="shared" si="0"/>
        <v>33000</v>
      </c>
      <c r="G9" s="16"/>
    </row>
    <row r="10" spans="1:7" x14ac:dyDescent="0.25">
      <c r="A10" s="16" t="s">
        <v>82</v>
      </c>
      <c r="B10" s="16" t="s">
        <v>72</v>
      </c>
      <c r="C10" s="40">
        <v>0</v>
      </c>
      <c r="D10" s="40">
        <v>80000</v>
      </c>
      <c r="E10" s="40">
        <v>0</v>
      </c>
      <c r="F10" s="40">
        <f t="shared" si="0"/>
        <v>80000</v>
      </c>
      <c r="G10" s="16"/>
    </row>
    <row r="11" spans="1:7" x14ac:dyDescent="0.25">
      <c r="A11" s="16" t="s">
        <v>65</v>
      </c>
      <c r="B11" s="16" t="s">
        <v>71</v>
      </c>
      <c r="C11" s="40">
        <v>0</v>
      </c>
      <c r="D11" s="40">
        <v>87000</v>
      </c>
      <c r="E11" s="40">
        <v>60000</v>
      </c>
      <c r="F11" s="40">
        <f t="shared" si="0"/>
        <v>147000</v>
      </c>
      <c r="G11" s="16"/>
    </row>
    <row r="12" spans="1:7" s="20" customFormat="1" x14ac:dyDescent="0.25">
      <c r="A12" s="17" t="s">
        <v>42</v>
      </c>
      <c r="B12" s="17"/>
      <c r="C12" s="41">
        <f>SUM(C4:C11)</f>
        <v>461500</v>
      </c>
      <c r="D12" s="41">
        <f>SUM(D4:D11)</f>
        <v>412000</v>
      </c>
      <c r="E12" s="41">
        <f>SUM(E4:E11)</f>
        <v>260000</v>
      </c>
      <c r="F12" s="41">
        <f t="shared" si="0"/>
        <v>1133500</v>
      </c>
      <c r="G12" s="17"/>
    </row>
    <row r="13" spans="1:7" s="20" customFormat="1" x14ac:dyDescent="0.25">
      <c r="A13" s="17"/>
      <c r="B13" s="17"/>
      <c r="C13" s="41"/>
      <c r="D13" s="41"/>
      <c r="E13" s="41"/>
      <c r="F13" s="41"/>
      <c r="G13" s="17"/>
    </row>
    <row r="14" spans="1:7" s="20" customFormat="1" x14ac:dyDescent="0.25">
      <c r="A14" s="17" t="s">
        <v>74</v>
      </c>
      <c r="B14" s="17"/>
      <c r="C14" s="41"/>
      <c r="D14" s="41"/>
      <c r="E14" s="41"/>
      <c r="F14" s="41"/>
      <c r="G14" s="17"/>
    </row>
    <row r="15" spans="1:7" s="20" customFormat="1" x14ac:dyDescent="0.25">
      <c r="A15" s="33" t="s">
        <v>117</v>
      </c>
      <c r="B15" s="33" t="s">
        <v>71</v>
      </c>
      <c r="C15" s="42">
        <v>0</v>
      </c>
      <c r="D15" s="42">
        <v>80000</v>
      </c>
      <c r="E15" s="42">
        <v>80000</v>
      </c>
      <c r="F15" s="42">
        <f>SUM(C15:E15)</f>
        <v>160000</v>
      </c>
      <c r="G15" s="17"/>
    </row>
    <row r="16" spans="1:7" s="20" customFormat="1" x14ac:dyDescent="0.25">
      <c r="A16" s="33" t="s">
        <v>51</v>
      </c>
      <c r="B16" s="33" t="s">
        <v>70</v>
      </c>
      <c r="C16" s="42">
        <v>0</v>
      </c>
      <c r="D16" s="42">
        <v>0</v>
      </c>
      <c r="E16" s="42">
        <v>75000</v>
      </c>
      <c r="F16" s="42">
        <f t="shared" ref="F16:F18" si="1">SUM(C16:E16)</f>
        <v>75000</v>
      </c>
      <c r="G16" s="17"/>
    </row>
    <row r="17" spans="1:7" x14ac:dyDescent="0.25">
      <c r="A17" s="16" t="s">
        <v>52</v>
      </c>
      <c r="B17" s="16" t="s">
        <v>70</v>
      </c>
      <c r="C17" s="40">
        <v>0</v>
      </c>
      <c r="D17" s="40">
        <v>30000</v>
      </c>
      <c r="E17" s="40">
        <v>0</v>
      </c>
      <c r="F17" s="42">
        <f t="shared" si="1"/>
        <v>30000</v>
      </c>
      <c r="G17" s="16"/>
    </row>
    <row r="18" spans="1:7" x14ac:dyDescent="0.25">
      <c r="A18" s="33" t="s">
        <v>53</v>
      </c>
      <c r="B18" s="16"/>
      <c r="C18" s="40">
        <v>0</v>
      </c>
      <c r="D18" s="40">
        <v>5000</v>
      </c>
      <c r="E18" s="40">
        <v>5000</v>
      </c>
      <c r="F18" s="42">
        <f t="shared" si="1"/>
        <v>10000</v>
      </c>
      <c r="G18" s="16"/>
    </row>
    <row r="19" spans="1:7" x14ac:dyDescent="0.25">
      <c r="A19" s="17" t="s">
        <v>42</v>
      </c>
      <c r="B19" s="17"/>
      <c r="C19" s="41">
        <f>SUM(C15:C18)</f>
        <v>0</v>
      </c>
      <c r="D19" s="41">
        <f t="shared" ref="D19:E19" si="2">SUM(D15:D18)</f>
        <v>115000</v>
      </c>
      <c r="E19" s="41">
        <f t="shared" si="2"/>
        <v>160000</v>
      </c>
      <c r="F19" s="41">
        <f>SUM(C19:E19)</f>
        <v>275000</v>
      </c>
      <c r="G19" s="16"/>
    </row>
    <row r="20" spans="1:7" x14ac:dyDescent="0.25">
      <c r="A20" s="16"/>
      <c r="B20" s="16"/>
      <c r="C20" s="40"/>
      <c r="D20" s="40"/>
      <c r="E20" s="40"/>
      <c r="F20" s="40"/>
      <c r="G20" s="16"/>
    </row>
    <row r="21" spans="1:7" x14ac:dyDescent="0.25">
      <c r="A21" s="17" t="s">
        <v>75</v>
      </c>
      <c r="B21" s="16"/>
      <c r="C21" s="40"/>
      <c r="D21" s="40"/>
      <c r="E21" s="40"/>
      <c r="F21" s="40"/>
      <c r="G21" s="16"/>
    </row>
    <row r="22" spans="1:7" x14ac:dyDescent="0.25">
      <c r="A22" s="16" t="s">
        <v>76</v>
      </c>
      <c r="B22" s="16"/>
      <c r="C22" s="40">
        <v>109000</v>
      </c>
      <c r="D22" s="40">
        <v>109000</v>
      </c>
      <c r="E22" s="40">
        <v>109000</v>
      </c>
      <c r="F22" s="40">
        <f>SUM(C22:E22)</f>
        <v>327000</v>
      </c>
      <c r="G22" s="16"/>
    </row>
    <row r="23" spans="1:7" x14ac:dyDescent="0.25">
      <c r="A23" s="17" t="s">
        <v>42</v>
      </c>
      <c r="B23" s="17"/>
      <c r="C23" s="41">
        <f>SUM(C22)</f>
        <v>109000</v>
      </c>
      <c r="D23" s="41">
        <f>SUM(D22)</f>
        <v>109000</v>
      </c>
      <c r="E23" s="41">
        <f>SUM(E22)</f>
        <v>109000</v>
      </c>
      <c r="F23" s="41">
        <f>SUM(C23:E23)</f>
        <v>327000</v>
      </c>
      <c r="G23" s="16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&amp;L&amp;"-,Bold"Paper 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2"/>
  <sheetViews>
    <sheetView workbookViewId="0">
      <selection activeCell="B2" sqref="B2:D22"/>
    </sheetView>
  </sheetViews>
  <sheetFormatPr defaultRowHeight="15.75" x14ac:dyDescent="0.25"/>
  <cols>
    <col min="2" max="2" width="40.25" customWidth="1"/>
    <col min="3" max="3" width="11.125" bestFit="1" customWidth="1"/>
    <col min="4" max="4" width="35" customWidth="1"/>
    <col min="8" max="8" width="16.625" customWidth="1"/>
  </cols>
  <sheetData>
    <row r="2" spans="2:5" ht="23.25" customHeight="1" x14ac:dyDescent="0.25">
      <c r="B2" s="51" t="s">
        <v>113</v>
      </c>
      <c r="C2" s="52"/>
      <c r="D2" s="53"/>
    </row>
    <row r="3" spans="2:5" x14ac:dyDescent="0.25">
      <c r="B3" s="17" t="s">
        <v>109</v>
      </c>
      <c r="C3" s="17" t="s">
        <v>108</v>
      </c>
      <c r="D3" s="17" t="s">
        <v>44</v>
      </c>
    </row>
    <row r="4" spans="2:5" x14ac:dyDescent="0.25">
      <c r="B4" s="49" t="s">
        <v>130</v>
      </c>
      <c r="C4" s="34">
        <v>67000</v>
      </c>
      <c r="D4" s="33"/>
    </row>
    <row r="5" spans="2:5" x14ac:dyDescent="0.25">
      <c r="B5" s="45" t="s">
        <v>125</v>
      </c>
      <c r="C5" s="34">
        <f>'17-18'!N48+9586</f>
        <v>52257.253500000108</v>
      </c>
      <c r="D5" s="49" t="s">
        <v>132</v>
      </c>
    </row>
    <row r="6" spans="2:5" x14ac:dyDescent="0.25">
      <c r="B6" s="33" t="s">
        <v>102</v>
      </c>
      <c r="C6" s="34">
        <f>'18-19'!N8-'18-19'!N21</f>
        <v>9900</v>
      </c>
      <c r="D6" s="33" t="s">
        <v>106</v>
      </c>
      <c r="E6" s="48"/>
    </row>
    <row r="7" spans="2:5" x14ac:dyDescent="0.25">
      <c r="B7" s="46" t="s">
        <v>127</v>
      </c>
      <c r="C7" s="47">
        <v>15500</v>
      </c>
      <c r="D7" s="49" t="s">
        <v>133</v>
      </c>
    </row>
    <row r="8" spans="2:5" x14ac:dyDescent="0.25">
      <c r="B8" s="46" t="s">
        <v>53</v>
      </c>
      <c r="C8" s="47">
        <f>0.1*330000</f>
        <v>33000</v>
      </c>
      <c r="D8" s="46" t="s">
        <v>128</v>
      </c>
    </row>
    <row r="9" spans="2:5" x14ac:dyDescent="0.25">
      <c r="B9" s="17" t="s">
        <v>107</v>
      </c>
      <c r="C9" s="37">
        <f>SUM(C4:C8)</f>
        <v>177657.25350000011</v>
      </c>
      <c r="D9" s="33"/>
    </row>
    <row r="10" spans="2:5" x14ac:dyDescent="0.25">
      <c r="B10" s="17"/>
      <c r="C10" s="37"/>
      <c r="D10" s="33"/>
    </row>
    <row r="11" spans="2:5" ht="17.25" customHeight="1" x14ac:dyDescent="0.25">
      <c r="B11" s="38" t="s">
        <v>110</v>
      </c>
      <c r="C11" s="34"/>
      <c r="D11" s="33"/>
    </row>
    <row r="12" spans="2:5" x14ac:dyDescent="0.25">
      <c r="B12" s="35" t="s">
        <v>105</v>
      </c>
      <c r="C12" s="36">
        <f>'18-19'!N7-'18-19'!N20</f>
        <v>0</v>
      </c>
      <c r="D12" s="35" t="s">
        <v>56</v>
      </c>
    </row>
    <row r="13" spans="2:5" x14ac:dyDescent="0.25">
      <c r="B13" s="35" t="s">
        <v>52</v>
      </c>
      <c r="C13" s="36">
        <f>'18-19'!N11</f>
        <v>0</v>
      </c>
      <c r="D13" s="35" t="s">
        <v>56</v>
      </c>
    </row>
    <row r="14" spans="2:5" x14ac:dyDescent="0.25">
      <c r="B14" s="35" t="s">
        <v>118</v>
      </c>
      <c r="C14" s="36">
        <v>0</v>
      </c>
      <c r="D14" s="35" t="s">
        <v>56</v>
      </c>
    </row>
    <row r="15" spans="2:5" x14ac:dyDescent="0.25">
      <c r="B15" s="35" t="s">
        <v>54</v>
      </c>
      <c r="C15" s="36">
        <f>'18-19'!N13</f>
        <v>0</v>
      </c>
      <c r="D15" s="35" t="s">
        <v>56</v>
      </c>
    </row>
    <row r="16" spans="2:5" x14ac:dyDescent="0.25">
      <c r="B16" s="38" t="s">
        <v>111</v>
      </c>
      <c r="C16" s="39">
        <f>SUM(C12:C15)</f>
        <v>0</v>
      </c>
      <c r="D16" s="33"/>
    </row>
    <row r="17" spans="2:8" x14ac:dyDescent="0.25">
      <c r="B17" s="17"/>
      <c r="C17" s="37"/>
      <c r="D17" s="33"/>
    </row>
    <row r="18" spans="2:8" x14ac:dyDescent="0.25">
      <c r="B18" s="17" t="s">
        <v>112</v>
      </c>
      <c r="C18" s="37">
        <f>C16+C9</f>
        <v>177657.25350000011</v>
      </c>
      <c r="D18" s="33"/>
    </row>
    <row r="19" spans="2:8" x14ac:dyDescent="0.25">
      <c r="B19" s="33"/>
      <c r="C19" s="34"/>
      <c r="D19" s="33"/>
      <c r="F19" s="43" t="s">
        <v>119</v>
      </c>
      <c r="G19" s="43" t="s">
        <v>122</v>
      </c>
      <c r="H19" s="1"/>
    </row>
    <row r="20" spans="2:8" x14ac:dyDescent="0.25">
      <c r="B20" s="17" t="s">
        <v>101</v>
      </c>
      <c r="C20" s="37">
        <f>'18-19'!N46</f>
        <v>173620</v>
      </c>
      <c r="D20" s="45" t="s">
        <v>123</v>
      </c>
      <c r="F20" s="44">
        <f>C20/12</f>
        <v>14468.333333333334</v>
      </c>
      <c r="G20" s="44">
        <f>C9/F20</f>
        <v>12.279040675037445</v>
      </c>
      <c r="H20" s="43" t="s">
        <v>120</v>
      </c>
    </row>
    <row r="21" spans="2:8" x14ac:dyDescent="0.25">
      <c r="B21" s="33"/>
      <c r="C21" s="34"/>
      <c r="D21" s="33"/>
      <c r="F21" s="44"/>
      <c r="G21" s="44">
        <f>(C9+67000)/F20</f>
        <v>16.909843577928818</v>
      </c>
      <c r="H21" s="43" t="s">
        <v>121</v>
      </c>
    </row>
    <row r="22" spans="2:8" x14ac:dyDescent="0.25">
      <c r="B22" s="17" t="s">
        <v>104</v>
      </c>
      <c r="C22" s="37">
        <f>C18-C20</f>
        <v>4037.253500000108</v>
      </c>
      <c r="D22" s="33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17-18</vt:lpstr>
      <vt:lpstr>18-19</vt:lpstr>
      <vt:lpstr>Contract income</vt:lpstr>
      <vt:lpstr>Summary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Watkins</dc:creator>
  <cp:lastModifiedBy>Watkins James</cp:lastModifiedBy>
  <cp:lastPrinted>2017-12-05T11:51:01Z</cp:lastPrinted>
  <dcterms:created xsi:type="dcterms:W3CDTF">2016-09-19T09:32:11Z</dcterms:created>
  <dcterms:modified xsi:type="dcterms:W3CDTF">2017-12-12T07:14:57Z</dcterms:modified>
</cp:coreProperties>
</file>