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50" yWindow="330" windowWidth="20610" windowHeight="11640" tabRatio="500"/>
  </bookViews>
  <sheets>
    <sheet name="18-19" sheetId="4" r:id="rId1"/>
  </sheets>
  <calcPr calcId="145621"/>
</workbook>
</file>

<file path=xl/calcChain.xml><?xml version="1.0" encoding="utf-8"?>
<calcChain xmlns="http://schemas.openxmlformats.org/spreadsheetml/2006/main">
  <c r="I39" i="4" l="1"/>
  <c r="I34" i="4"/>
  <c r="I31" i="4"/>
  <c r="H11" i="4" l="1"/>
  <c r="H8" i="4"/>
  <c r="F35" i="4"/>
  <c r="F29" i="4"/>
  <c r="J34" i="4"/>
  <c r="K34" i="4"/>
  <c r="L34" i="4"/>
  <c r="M34" i="4"/>
  <c r="G39" i="4" l="1"/>
  <c r="N7" i="4"/>
  <c r="N8" i="4"/>
  <c r="N9" i="4"/>
  <c r="N12" i="4"/>
  <c r="N14" i="4"/>
  <c r="N5" i="4"/>
  <c r="M15" i="4"/>
  <c r="E30" i="4"/>
  <c r="E29" i="4"/>
  <c r="E35" i="4"/>
  <c r="E27" i="4" l="1"/>
  <c r="E10" i="4"/>
  <c r="D10" i="4"/>
  <c r="C10" i="4"/>
  <c r="N10" i="4" s="1"/>
  <c r="B27" i="4"/>
  <c r="B29" i="4"/>
  <c r="B13" i="4"/>
  <c r="N13" i="4" s="1"/>
  <c r="N43" i="4"/>
  <c r="B21" i="4" l="1"/>
  <c r="C11" i="4"/>
  <c r="D11" i="4"/>
  <c r="B11" i="4"/>
  <c r="N11" i="4" s="1"/>
  <c r="D35" i="4"/>
  <c r="G35" i="4"/>
  <c r="H35" i="4"/>
  <c r="I35" i="4"/>
  <c r="N35" i="4" s="1"/>
  <c r="J35" i="4"/>
  <c r="K35" i="4"/>
  <c r="L35" i="4"/>
  <c r="M35" i="4"/>
  <c r="F15" i="4"/>
  <c r="J15" i="4"/>
  <c r="C21" i="4"/>
  <c r="D21" i="4"/>
  <c r="D24" i="4" s="1"/>
  <c r="E21" i="4"/>
  <c r="E24" i="4" s="1"/>
  <c r="F21" i="4"/>
  <c r="G21" i="4"/>
  <c r="G24" i="4" s="1"/>
  <c r="H21" i="4"/>
  <c r="H24" i="4" s="1"/>
  <c r="I21" i="4"/>
  <c r="I24" i="4" s="1"/>
  <c r="J21" i="4"/>
  <c r="K21" i="4"/>
  <c r="K24" i="4" s="1"/>
  <c r="L21" i="4"/>
  <c r="L24" i="4" s="1"/>
  <c r="M21" i="4"/>
  <c r="M24" i="4" s="1"/>
  <c r="F24" i="4"/>
  <c r="J24" i="4"/>
  <c r="N27" i="4"/>
  <c r="N28" i="4"/>
  <c r="I29" i="4"/>
  <c r="J29" i="4"/>
  <c r="N29" i="4" s="1"/>
  <c r="K29" i="4"/>
  <c r="L29" i="4"/>
  <c r="M29" i="4"/>
  <c r="N30" i="4"/>
  <c r="B47" i="4"/>
  <c r="H47" i="4"/>
  <c r="I47" i="4"/>
  <c r="J31" i="4"/>
  <c r="K31" i="4"/>
  <c r="L31" i="4"/>
  <c r="M31" i="4"/>
  <c r="M47" i="4" s="1"/>
  <c r="N32" i="4"/>
  <c r="N33" i="4"/>
  <c r="N36" i="4"/>
  <c r="N37" i="4"/>
  <c r="N38" i="4"/>
  <c r="N39" i="4"/>
  <c r="J39" i="4"/>
  <c r="K39" i="4"/>
  <c r="L39" i="4"/>
  <c r="M39" i="4"/>
  <c r="N40" i="4"/>
  <c r="N41" i="4"/>
  <c r="N42" i="4"/>
  <c r="N44" i="4"/>
  <c r="N45" i="4"/>
  <c r="N46" i="4"/>
  <c r="N48" i="4"/>
  <c r="J47" i="4"/>
  <c r="F47" i="4"/>
  <c r="L15" i="4"/>
  <c r="H15" i="4"/>
  <c r="N34" i="4"/>
  <c r="K15" i="4"/>
  <c r="G15" i="4"/>
  <c r="E47" i="4"/>
  <c r="L47" i="4"/>
  <c r="D47" i="4"/>
  <c r="C47" i="4"/>
  <c r="I15" i="4"/>
  <c r="E15" i="4"/>
  <c r="C15" i="4"/>
  <c r="C24" i="4"/>
  <c r="K47" i="4" l="1"/>
  <c r="K49" i="4" s="1"/>
  <c r="K51" i="4" s="1"/>
  <c r="N31" i="4"/>
  <c r="N47" i="4" s="1"/>
  <c r="G47" i="4"/>
  <c r="G49" i="4" s="1"/>
  <c r="G51" i="4" s="1"/>
  <c r="C49" i="4"/>
  <c r="C51" i="4" s="1"/>
  <c r="D15" i="4"/>
  <c r="H49" i="4"/>
  <c r="H51" i="4" s="1"/>
  <c r="D49" i="4"/>
  <c r="L49" i="4"/>
  <c r="L51" i="4" s="1"/>
  <c r="F49" i="4"/>
  <c r="F51" i="4" s="1"/>
  <c r="J49" i="4"/>
  <c r="J51" i="4" s="1"/>
  <c r="M49" i="4"/>
  <c r="M51" i="4" s="1"/>
  <c r="I49" i="4"/>
  <c r="I51" i="4" s="1"/>
  <c r="E49" i="4"/>
  <c r="E51" i="4" s="1"/>
  <c r="B24" i="4"/>
  <c r="B49" i="4" s="1"/>
  <c r="N21" i="4"/>
  <c r="N24" i="4" s="1"/>
  <c r="D51" i="4" l="1"/>
  <c r="N49" i="4"/>
  <c r="B15" i="4" l="1"/>
  <c r="B51" i="4" s="1"/>
  <c r="N15" i="4" l="1"/>
  <c r="N51" i="4" s="1"/>
</calcChain>
</file>

<file path=xl/comments1.xml><?xml version="1.0" encoding="utf-8"?>
<comments xmlns="http://schemas.openxmlformats.org/spreadsheetml/2006/main">
  <authors>
    <author>Hina Laptop</author>
    <author>Patel Hina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Hina Laptop:</t>
        </r>
        <r>
          <rPr>
            <sz val="9"/>
            <color indexed="81"/>
            <rFont val="Tahoma"/>
            <family val="2"/>
          </rPr>
          <t xml:space="preserve">
DSN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Hina Laptop:</t>
        </r>
        <r>
          <rPr>
            <sz val="9"/>
            <color indexed="81"/>
            <rFont val="Tahoma"/>
            <family val="2"/>
          </rPr>
          <t xml:space="preserve">
Vitrucare 18/19
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Hina Laptop:</t>
        </r>
        <r>
          <rPr>
            <sz val="9"/>
            <color indexed="81"/>
            <rFont val="Tahoma"/>
            <family val="2"/>
          </rPr>
          <t xml:space="preserve">
DSN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Hina Laptop:</t>
        </r>
        <r>
          <rPr>
            <sz val="9"/>
            <color indexed="81"/>
            <rFont val="Tahoma"/>
            <family val="2"/>
          </rPr>
          <t xml:space="preserve">
£630 re catch up - underclaimed .5 hrs x 14
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Hina Laptop:</t>
        </r>
        <r>
          <rPr>
            <sz val="9"/>
            <color indexed="81"/>
            <rFont val="Tahoma"/>
            <family val="2"/>
          </rPr>
          <t xml:space="preserve">
est Sept
</t>
        </r>
      </text>
    </comment>
    <comment ref="H35" authorId="1">
      <text>
        <r>
          <rPr>
            <b/>
            <sz val="9"/>
            <color indexed="81"/>
            <rFont val="Tahoma"/>
            <family val="2"/>
          </rPr>
          <t>Patel Hina:</t>
        </r>
        <r>
          <rPr>
            <sz val="9"/>
            <color indexed="81"/>
            <rFont val="Tahoma"/>
            <family val="2"/>
          </rPr>
          <t xml:space="preserve">
est Oct
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Hina Laptop:</t>
        </r>
        <r>
          <rPr>
            <sz val="9"/>
            <color indexed="81"/>
            <rFont val="Tahoma"/>
            <family val="2"/>
          </rPr>
          <t xml:space="preserve">
est re publishing annual report
</t>
        </r>
      </text>
    </comment>
    <comment ref="H38" authorId="1">
      <text>
        <r>
          <rPr>
            <b/>
            <sz val="9"/>
            <color indexed="81"/>
            <rFont val="Tahoma"/>
            <family val="2"/>
          </rPr>
          <t>Patel Hina:</t>
        </r>
        <r>
          <rPr>
            <sz val="9"/>
            <color indexed="81"/>
            <rFont val="Tahoma"/>
            <family val="2"/>
          </rPr>
          <t xml:space="preserve">
£595+vat for additional advice
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Hina Laptop:</t>
        </r>
        <r>
          <rPr>
            <sz val="9"/>
            <color indexed="81"/>
            <rFont val="Tahoma"/>
            <family val="2"/>
          </rPr>
          <t xml:space="preserve">
sage software licence
</t>
        </r>
      </text>
    </comment>
  </commentList>
</comments>
</file>

<file path=xl/sharedStrings.xml><?xml version="1.0" encoding="utf-8"?>
<sst xmlns="http://schemas.openxmlformats.org/spreadsheetml/2006/main" count="69" uniqueCount="66">
  <si>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</si>
  <si>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</si>
  <si>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</si>
  <si>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</si>
  <si>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</si>
  <si>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</si>
  <si>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</si>
  <si>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</si>
  <si>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</si>
  <si>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</si>
  <si>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</si>
  <si>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</si>
  <si>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Total</t>
  </si>
  <si>
    <t>Costs</t>
  </si>
  <si>
    <t>COO expenses</t>
  </si>
  <si>
    <t>Admin</t>
  </si>
  <si>
    <t>Insurance</t>
  </si>
  <si>
    <t>Legal &amp; professional</t>
  </si>
  <si>
    <t>Total costs</t>
  </si>
  <si>
    <t>Surplus / deficit</t>
  </si>
  <si>
    <t>Board costs</t>
  </si>
  <si>
    <t>Sundry</t>
  </si>
  <si>
    <t>Marketing materials</t>
  </si>
  <si>
    <t>Payroll</t>
  </si>
  <si>
    <t>ELR GP Federation Ltd</t>
  </si>
  <si>
    <t>Stationary/Phone</t>
  </si>
  <si>
    <t>COO Salary + Oncost</t>
  </si>
  <si>
    <t>IT</t>
  </si>
  <si>
    <t>Clinical governance / regulation</t>
  </si>
  <si>
    <t>Board development</t>
  </si>
  <si>
    <t>CBS</t>
  </si>
  <si>
    <t>Purchase Direct</t>
  </si>
  <si>
    <t>Income</t>
  </si>
  <si>
    <t>Overheads</t>
  </si>
  <si>
    <t>Direct</t>
  </si>
  <si>
    <t>Winter Monies</t>
  </si>
  <si>
    <t>Winter monies</t>
  </si>
  <si>
    <t>Sub total</t>
  </si>
  <si>
    <t>Total income</t>
  </si>
  <si>
    <t>Comment</t>
  </si>
  <si>
    <t>Ops supprt</t>
  </si>
  <si>
    <t>Biz dev  &amp; comms</t>
  </si>
  <si>
    <t>Demand management</t>
  </si>
  <si>
    <t>Other contracts</t>
  </si>
  <si>
    <t>Budget FY 18/19</t>
  </si>
  <si>
    <t xml:space="preserve">H Pylori </t>
  </si>
  <si>
    <t>incl potential medical malpractice</t>
  </si>
  <si>
    <t>Taxation</t>
  </si>
  <si>
    <t>Estimate based on 17/18 run rate</t>
  </si>
  <si>
    <t xml:space="preserve">Asssumption that the scheme is run </t>
  </si>
  <si>
    <t xml:space="preserve">GP </t>
  </si>
  <si>
    <t>Actual</t>
  </si>
  <si>
    <t>Bank charges</t>
  </si>
  <si>
    <t>ELR CCG / transformation</t>
  </si>
  <si>
    <t>TBD with JMc</t>
  </si>
  <si>
    <t>Service Charge</t>
  </si>
  <si>
    <t>Annual report - Ballards</t>
  </si>
  <si>
    <t>Balance of £350,000</t>
  </si>
  <si>
    <t>Supporting Sub-Locality</t>
  </si>
  <si>
    <t>Corresp Mgt/RCC Vitrucare/DSN</t>
  </si>
  <si>
    <t>Net of Joe's fee - dependant on take up</t>
  </si>
  <si>
    <t>GUESSTIMATE - from 1/7/19</t>
  </si>
  <si>
    <t>ELR CCG Support</t>
  </si>
  <si>
    <t>GDPR - DPO 50% inv</t>
  </si>
  <si>
    <t>10p per patient - received in full</t>
  </si>
  <si>
    <t>approximate half of calcs to be confirmed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</si>
</sst>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£-809]* #,##0_-;\-[$£-809]* #,##0_-;_-[$£-809]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/>
    <xf numFmtId="43" fontId="0" fillId="0" borderId="0" xfId="0" applyNumberFormat="1"/>
    <xf numFmtId="0" fontId="5" fillId="0" borderId="0" xfId="0" applyFont="1"/>
    <xf numFmtId="0" fontId="2" fillId="0" borderId="0" xfId="0" applyFont="1"/>
    <xf numFmtId="0" fontId="0" fillId="0" borderId="1" xfId="0" applyFont="1" applyBorder="1"/>
    <xf numFmtId="164" fontId="2" fillId="0" borderId="1" xfId="1" applyNumberFormat="1" applyFont="1" applyBorder="1"/>
    <xf numFmtId="164" fontId="0" fillId="0" borderId="1" xfId="1" applyNumberFormat="1" applyFont="1" applyBorder="1"/>
    <xf numFmtId="0" fontId="2" fillId="0" borderId="1" xfId="0" applyFont="1" applyFill="1" applyBorder="1"/>
    <xf numFmtId="0" fontId="6" fillId="0" borderId="0" xfId="0" applyFont="1"/>
    <xf numFmtId="0" fontId="7" fillId="0" borderId="1" xfId="0" applyFont="1" applyBorder="1"/>
    <xf numFmtId="0" fontId="6" fillId="0" borderId="1" xfId="0" applyFont="1" applyBorder="1"/>
    <xf numFmtId="164" fontId="6" fillId="0" borderId="1" xfId="1" applyNumberFormat="1" applyFont="1" applyBorder="1"/>
    <xf numFmtId="164" fontId="7" fillId="0" borderId="1" xfId="1" applyNumberFormat="1" applyFont="1" applyBorder="1"/>
    <xf numFmtId="164" fontId="6" fillId="0" borderId="1" xfId="1" applyNumberFormat="1" applyFont="1" applyFill="1" applyBorder="1"/>
    <xf numFmtId="0" fontId="0" fillId="0" borderId="1" xfId="0" applyFill="1" applyBorder="1"/>
    <xf numFmtId="0" fontId="0" fillId="0" borderId="0" xfId="0" applyFill="1"/>
    <xf numFmtId="164" fontId="2" fillId="0" borderId="1" xfId="1" applyNumberFormat="1" applyFont="1" applyFill="1" applyBorder="1"/>
    <xf numFmtId="164" fontId="0" fillId="0" borderId="1" xfId="1" applyNumberFormat="1" applyFont="1" applyFill="1" applyBorder="1"/>
    <xf numFmtId="17" fontId="0" fillId="0" borderId="1" xfId="0" applyNumberFormat="1" applyFill="1" applyBorder="1" applyAlignment="1">
      <alignment horizontal="left"/>
    </xf>
    <xf numFmtId="0" fontId="6" fillId="0" borderId="2" xfId="0" applyFont="1" applyBorder="1" applyAlignment="1">
      <alignment horizontal="center"/>
    </xf>
  </cellXfs>
  <cellStyles count="1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52"/>
  <sheetViews>
    <sheetView tabSelected="1" zoomScale="80" zoomScaleNormal="80" zoomScalePageLayoutView="70" workbookViewId="0">
      <selection activeCell="O15" sqref="O15"/>
    </sheetView>
  </sheetViews>
  <sheetFormatPr defaultColWidth="1.125" defaultRowHeight="15.75" x14ac:dyDescent="0.25"/>
  <cols>
    <col min="1" max="1" width="23.5" customWidth="1"/>
    <col min="2" max="3" width="11.5" style="10" customWidth="1"/>
    <col min="4" max="7" width="11.5" customWidth="1"/>
    <col min="8" max="8" width="11.5" style="10" customWidth="1"/>
    <col min="9" max="14" width="11.5" customWidth="1"/>
    <col min="15" max="15" width="37.25" bestFit="1" customWidth="1"/>
  </cols>
  <sheetData>
    <row r="1" spans="1:16" x14ac:dyDescent="0.25">
      <c r="A1" s="4" t="s">
        <v>24</v>
      </c>
    </row>
    <row r="2" spans="1:16" x14ac:dyDescent="0.25">
      <c r="A2" s="4" t="s">
        <v>44</v>
      </c>
      <c r="B2" s="21" t="s">
        <v>51</v>
      </c>
      <c r="C2" s="21"/>
    </row>
    <row r="3" spans="1:16" x14ac:dyDescent="0.25">
      <c r="A3" s="1"/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9" t="s">
        <v>39</v>
      </c>
    </row>
    <row r="4" spans="1:16" x14ac:dyDescent="0.25">
      <c r="A4" s="2" t="s">
        <v>32</v>
      </c>
      <c r="B4" s="12"/>
      <c r="C4" s="12"/>
      <c r="D4" s="1"/>
      <c r="E4" s="12"/>
      <c r="F4" s="12"/>
      <c r="G4" s="12"/>
      <c r="H4" s="12"/>
      <c r="I4" s="1"/>
      <c r="J4" s="1"/>
      <c r="K4" s="1"/>
      <c r="L4" s="1"/>
      <c r="M4" s="1"/>
      <c r="N4" s="1"/>
      <c r="O4" s="1"/>
    </row>
    <row r="5" spans="1:16" s="17" customFormat="1" x14ac:dyDescent="0.25">
      <c r="A5" s="16" t="s">
        <v>62</v>
      </c>
      <c r="B5" s="13"/>
      <c r="C5" s="13">
        <v>36747</v>
      </c>
      <c r="D5" s="13"/>
      <c r="E5" s="13"/>
      <c r="F5" s="13">
        <v>36747</v>
      </c>
      <c r="G5" s="13"/>
      <c r="H5" s="13">
        <v>36747</v>
      </c>
      <c r="J5" s="13"/>
      <c r="K5" s="13"/>
      <c r="L5" s="13"/>
      <c r="M5" s="13"/>
      <c r="N5" s="18">
        <f>SUM(B5:M5)</f>
        <v>110241</v>
      </c>
      <c r="O5" s="16" t="s">
        <v>57</v>
      </c>
    </row>
    <row r="6" spans="1:16" x14ac:dyDescent="0.25">
      <c r="A6" s="6" t="s">
        <v>53</v>
      </c>
      <c r="B6" s="13"/>
      <c r="C6" s="13"/>
      <c r="D6" s="8"/>
      <c r="E6" s="8"/>
      <c r="F6" s="8"/>
      <c r="G6" s="13"/>
      <c r="H6" s="13"/>
      <c r="I6" s="8"/>
      <c r="J6" s="8"/>
      <c r="K6" s="8"/>
      <c r="L6" s="8"/>
      <c r="M6" s="8"/>
      <c r="N6" s="18"/>
      <c r="O6" s="1"/>
      <c r="P6" s="3"/>
    </row>
    <row r="7" spans="1:16" x14ac:dyDescent="0.25">
      <c r="A7" s="6" t="s">
        <v>35</v>
      </c>
      <c r="B7" s="13"/>
      <c r="C7" s="13"/>
      <c r="D7" s="8"/>
      <c r="E7" s="8"/>
      <c r="F7" s="8"/>
      <c r="G7" s="13"/>
      <c r="H7" s="13"/>
      <c r="I7" s="8"/>
      <c r="J7" s="8"/>
      <c r="K7" s="8"/>
      <c r="L7" s="8"/>
      <c r="M7" s="8">
        <v>3500</v>
      </c>
      <c r="N7" s="18">
        <f t="shared" ref="N7:N14" si="0">SUM(B7:M7)</f>
        <v>3500</v>
      </c>
      <c r="O7" s="1" t="s">
        <v>49</v>
      </c>
      <c r="P7" s="3"/>
    </row>
    <row r="8" spans="1:16" x14ac:dyDescent="0.25">
      <c r="A8" s="6" t="s">
        <v>30</v>
      </c>
      <c r="B8" s="13">
        <v>0</v>
      </c>
      <c r="C8" s="13">
        <v>0</v>
      </c>
      <c r="D8" s="8"/>
      <c r="E8" s="13">
        <v>66824.08</v>
      </c>
      <c r="F8" s="8"/>
      <c r="G8" s="13"/>
      <c r="H8" s="13">
        <f>50472.1+13691.62</f>
        <v>64163.72</v>
      </c>
      <c r="I8" s="8"/>
      <c r="J8" s="8"/>
      <c r="K8" s="8">
        <v>60000</v>
      </c>
      <c r="L8" s="8"/>
      <c r="M8" s="8">
        <v>60000</v>
      </c>
      <c r="N8" s="18">
        <f t="shared" si="0"/>
        <v>250987.8</v>
      </c>
      <c r="O8" s="1" t="s">
        <v>48</v>
      </c>
    </row>
    <row r="9" spans="1:16" x14ac:dyDescent="0.25">
      <c r="A9" s="6" t="s">
        <v>31</v>
      </c>
      <c r="B9" s="13"/>
      <c r="C9" s="13"/>
      <c r="D9" s="8"/>
      <c r="E9" s="8"/>
      <c r="F9" s="8"/>
      <c r="G9" s="13"/>
      <c r="H9" s="13"/>
      <c r="I9" s="8"/>
      <c r="J9" s="8"/>
      <c r="K9" s="8">
        <v>800</v>
      </c>
      <c r="L9" s="8"/>
      <c r="M9" s="8"/>
      <c r="N9" s="18">
        <f t="shared" si="0"/>
        <v>800</v>
      </c>
      <c r="O9" s="1" t="s">
        <v>48</v>
      </c>
    </row>
    <row r="10" spans="1:16" s="17" customFormat="1" x14ac:dyDescent="0.25">
      <c r="A10" s="16" t="s">
        <v>63</v>
      </c>
      <c r="B10" s="15"/>
      <c r="C10" s="15">
        <f>11500-6500*1.2</f>
        <v>3700</v>
      </c>
      <c r="D10" s="15">
        <f>(14224-11500)/2*0.8</f>
        <v>1089.6000000000001</v>
      </c>
      <c r="E10" s="15">
        <f>(15226.9-14224)/2*0.8</f>
        <v>401.15999999999985</v>
      </c>
      <c r="G10" s="15"/>
      <c r="H10" s="15"/>
      <c r="I10" s="19"/>
      <c r="J10" s="19"/>
      <c r="K10" s="19"/>
      <c r="L10" s="19"/>
      <c r="M10" s="19"/>
      <c r="N10" s="18">
        <f t="shared" si="0"/>
        <v>5190.76</v>
      </c>
      <c r="O10" s="20" t="s">
        <v>60</v>
      </c>
    </row>
    <row r="11" spans="1:16" x14ac:dyDescent="0.25">
      <c r="A11" s="1" t="s">
        <v>45</v>
      </c>
      <c r="B11" s="13">
        <f>0</f>
        <v>0</v>
      </c>
      <c r="C11" s="13">
        <f>0</f>
        <v>0</v>
      </c>
      <c r="D11" s="13">
        <f>0</f>
        <v>0</v>
      </c>
      <c r="E11" s="8"/>
      <c r="F11" s="8"/>
      <c r="G11" s="13"/>
      <c r="H11" s="13">
        <f>167*3</f>
        <v>501</v>
      </c>
      <c r="I11" s="8"/>
      <c r="J11" s="8"/>
      <c r="K11" s="8">
        <v>600</v>
      </c>
      <c r="L11" s="8"/>
      <c r="M11" s="8">
        <v>600</v>
      </c>
      <c r="N11" s="18">
        <f t="shared" si="0"/>
        <v>1701</v>
      </c>
      <c r="O11" s="1" t="s">
        <v>61</v>
      </c>
    </row>
    <row r="12" spans="1:16" x14ac:dyDescent="0.25">
      <c r="A12" s="6" t="s">
        <v>42</v>
      </c>
      <c r="B12" s="13">
        <v>0</v>
      </c>
      <c r="C12" s="13">
        <v>0</v>
      </c>
      <c r="D12" s="13">
        <v>0</v>
      </c>
      <c r="E12" s="8"/>
      <c r="F12" s="13">
        <v>33000</v>
      </c>
      <c r="G12" s="13"/>
      <c r="H12" s="13"/>
      <c r="I12" s="8"/>
      <c r="J12" s="8"/>
      <c r="K12" s="8"/>
      <c r="L12" s="8"/>
      <c r="M12" s="8"/>
      <c r="N12" s="18">
        <f t="shared" si="0"/>
        <v>33000</v>
      </c>
      <c r="O12" s="1" t="s">
        <v>64</v>
      </c>
    </row>
    <row r="13" spans="1:16" x14ac:dyDescent="0.25">
      <c r="A13" s="6" t="s">
        <v>43</v>
      </c>
      <c r="B13" s="13">
        <f>16450-15061.68</f>
        <v>1388.3199999999997</v>
      </c>
      <c r="C13" s="13">
        <v>2122</v>
      </c>
      <c r="D13" s="13">
        <v>0</v>
      </c>
      <c r="E13" s="13">
        <v>0</v>
      </c>
      <c r="F13" s="13">
        <v>0</v>
      </c>
      <c r="G13" s="13">
        <v>0</v>
      </c>
      <c r="H13" s="13">
        <v>1750</v>
      </c>
      <c r="I13" s="8">
        <v>0</v>
      </c>
      <c r="J13" s="8">
        <v>0</v>
      </c>
      <c r="K13" s="8">
        <v>2122</v>
      </c>
      <c r="L13" s="8">
        <v>0</v>
      </c>
      <c r="M13" s="8">
        <v>1750</v>
      </c>
      <c r="N13" s="18">
        <f t="shared" si="0"/>
        <v>9132.32</v>
      </c>
      <c r="O13" s="1" t="s">
        <v>59</v>
      </c>
    </row>
    <row r="14" spans="1:16" x14ac:dyDescent="0.25">
      <c r="A14" s="1" t="s">
        <v>58</v>
      </c>
      <c r="B14" s="13"/>
      <c r="C14" s="13"/>
      <c r="D14" s="8"/>
      <c r="E14" s="8"/>
      <c r="F14" s="8"/>
      <c r="G14" s="10"/>
      <c r="H14" s="13">
        <v>0</v>
      </c>
      <c r="I14" s="8">
        <v>10000</v>
      </c>
      <c r="J14" s="8"/>
      <c r="K14" s="8">
        <v>10000</v>
      </c>
      <c r="L14" s="8"/>
      <c r="M14" s="8">
        <v>8000</v>
      </c>
      <c r="N14" s="18">
        <f t="shared" si="0"/>
        <v>28000</v>
      </c>
      <c r="O14" s="1" t="s">
        <v>65</v>
      </c>
    </row>
    <row r="15" spans="1:16" s="5" customFormat="1" x14ac:dyDescent="0.25">
      <c r="A15" s="2" t="s">
        <v>38</v>
      </c>
      <c r="B15" s="14">
        <f t="shared" ref="B15:N15" si="1">SUM(B5:B14)</f>
        <v>1388.3199999999997</v>
      </c>
      <c r="C15" s="14">
        <f t="shared" si="1"/>
        <v>42569</v>
      </c>
      <c r="D15" s="14">
        <f t="shared" si="1"/>
        <v>1089.6000000000001</v>
      </c>
      <c r="E15" s="14">
        <f t="shared" si="1"/>
        <v>67225.240000000005</v>
      </c>
      <c r="F15" s="14">
        <f t="shared" si="1"/>
        <v>69747</v>
      </c>
      <c r="G15" s="14">
        <f t="shared" si="1"/>
        <v>0</v>
      </c>
      <c r="H15" s="14">
        <f>SUM(H5:H14)</f>
        <v>103161.72</v>
      </c>
      <c r="I15" s="7">
        <f t="shared" si="1"/>
        <v>10000</v>
      </c>
      <c r="J15" s="7">
        <f t="shared" si="1"/>
        <v>0</v>
      </c>
      <c r="K15" s="7">
        <f t="shared" si="1"/>
        <v>73522</v>
      </c>
      <c r="L15" s="7">
        <f t="shared" si="1"/>
        <v>0</v>
      </c>
      <c r="M15" s="7">
        <f>SUM(M5:M14)</f>
        <v>73850</v>
      </c>
      <c r="N15" s="7">
        <f t="shared" si="1"/>
        <v>442552.88</v>
      </c>
      <c r="O15" s="2"/>
    </row>
    <row r="16" spans="1:16" x14ac:dyDescent="0.25">
      <c r="A16" s="2"/>
      <c r="B16" s="13"/>
      <c r="C16" s="13"/>
      <c r="D16" s="8"/>
      <c r="E16" s="8"/>
      <c r="F16" s="8"/>
      <c r="G16" s="13"/>
      <c r="H16" s="13"/>
      <c r="I16" s="8"/>
      <c r="J16" s="8"/>
      <c r="K16" s="8"/>
      <c r="L16" s="8"/>
      <c r="M16" s="8"/>
      <c r="N16" s="7"/>
      <c r="O16" s="1"/>
    </row>
    <row r="17" spans="1:15" x14ac:dyDescent="0.25">
      <c r="A17" s="1"/>
      <c r="B17" s="13"/>
      <c r="C17" s="13"/>
      <c r="D17" s="8"/>
      <c r="E17" s="8"/>
      <c r="F17" s="8"/>
      <c r="G17" s="13"/>
      <c r="H17" s="13"/>
      <c r="I17" s="8"/>
      <c r="J17" s="8"/>
      <c r="K17" s="8"/>
      <c r="L17" s="8"/>
      <c r="M17" s="8"/>
      <c r="N17" s="7"/>
      <c r="O17" s="1"/>
    </row>
    <row r="18" spans="1:15" x14ac:dyDescent="0.25">
      <c r="A18" s="2" t="s">
        <v>13</v>
      </c>
      <c r="B18" s="13"/>
      <c r="C18" s="13"/>
      <c r="D18" s="8"/>
      <c r="E18" s="8"/>
      <c r="F18" s="8"/>
      <c r="G18" s="13"/>
      <c r="H18" s="13"/>
      <c r="I18" s="8"/>
      <c r="J18" s="8"/>
      <c r="K18" s="8"/>
      <c r="L18" s="8"/>
      <c r="M18" s="8"/>
      <c r="N18" s="7"/>
      <c r="O18" s="1"/>
    </row>
    <row r="19" spans="1:15" x14ac:dyDescent="0.25">
      <c r="A19" s="2" t="s">
        <v>34</v>
      </c>
      <c r="B19" s="13"/>
      <c r="C19" s="13"/>
      <c r="D19" s="8"/>
      <c r="E19" s="8"/>
      <c r="F19" s="8"/>
      <c r="G19" s="13"/>
      <c r="H19" s="13"/>
      <c r="I19" s="8"/>
      <c r="J19" s="8"/>
      <c r="K19" s="8"/>
      <c r="L19" s="8"/>
      <c r="M19" s="8"/>
      <c r="N19" s="7"/>
      <c r="O19" s="1"/>
    </row>
    <row r="20" spans="1:15" x14ac:dyDescent="0.25">
      <c r="A20" s="6" t="s">
        <v>36</v>
      </c>
      <c r="B20" s="13"/>
      <c r="C20" s="13"/>
      <c r="D20" s="13"/>
      <c r="E20" s="8"/>
      <c r="F20" s="8"/>
      <c r="G20" s="13"/>
      <c r="H20" s="13"/>
      <c r="I20" s="8"/>
      <c r="J20" s="8"/>
      <c r="K20" s="8"/>
      <c r="L20" s="8"/>
      <c r="M20" s="8"/>
      <c r="N20" s="7"/>
      <c r="O20" s="1"/>
    </row>
    <row r="21" spans="1:15" x14ac:dyDescent="0.25">
      <c r="A21" s="6" t="s">
        <v>30</v>
      </c>
      <c r="B21" s="13">
        <f t="shared" ref="B21:M21" si="2">B8*0.95</f>
        <v>0</v>
      </c>
      <c r="C21" s="13">
        <f t="shared" si="2"/>
        <v>0</v>
      </c>
      <c r="D21" s="13">
        <f t="shared" si="2"/>
        <v>0</v>
      </c>
      <c r="E21" s="13">
        <f t="shared" si="2"/>
        <v>63482.875999999997</v>
      </c>
      <c r="F21" s="13">
        <f t="shared" si="2"/>
        <v>0</v>
      </c>
      <c r="G21" s="13">
        <f t="shared" si="2"/>
        <v>0</v>
      </c>
      <c r="H21" s="13">
        <f t="shared" si="2"/>
        <v>60955.534</v>
      </c>
      <c r="I21" s="8">
        <f t="shared" si="2"/>
        <v>0</v>
      </c>
      <c r="J21" s="8">
        <f t="shared" si="2"/>
        <v>0</v>
      </c>
      <c r="K21" s="8">
        <f t="shared" si="2"/>
        <v>57000</v>
      </c>
      <c r="L21" s="8">
        <f t="shared" si="2"/>
        <v>0</v>
      </c>
      <c r="M21" s="8">
        <f t="shared" si="2"/>
        <v>57000</v>
      </c>
      <c r="N21" s="7">
        <f t="shared" ref="N21:N48" si="3">SUM(B21:M21)</f>
        <v>238438.41</v>
      </c>
      <c r="O21" s="1"/>
    </row>
    <row r="22" spans="1:15" x14ac:dyDescent="0.25">
      <c r="A22" s="6"/>
      <c r="B22" s="13"/>
      <c r="C22" s="13"/>
      <c r="D22" s="13"/>
      <c r="E22" s="8"/>
      <c r="F22" s="13"/>
      <c r="G22" s="13"/>
      <c r="H22" s="13"/>
      <c r="I22" s="8"/>
      <c r="J22" s="8"/>
      <c r="K22" s="8"/>
      <c r="L22" s="8"/>
      <c r="M22" s="8"/>
      <c r="N22" s="7"/>
      <c r="O22" s="1"/>
    </row>
    <row r="23" spans="1:15" x14ac:dyDescent="0.25">
      <c r="A23" s="6"/>
      <c r="B23" s="13"/>
      <c r="C23" s="13"/>
      <c r="D23" s="13"/>
      <c r="E23" s="8"/>
      <c r="F23" s="13"/>
      <c r="G23" s="13"/>
      <c r="H23" s="13"/>
      <c r="I23" s="8"/>
      <c r="J23" s="8"/>
      <c r="K23" s="8"/>
      <c r="L23" s="8"/>
      <c r="M23" s="8"/>
      <c r="N23" s="7"/>
      <c r="O23" s="1"/>
    </row>
    <row r="24" spans="1:15" s="5" customFormat="1" x14ac:dyDescent="0.25">
      <c r="A24" s="2" t="s">
        <v>37</v>
      </c>
      <c r="B24" s="14">
        <f t="shared" ref="B24:L24" si="4">SUM(B21:B23)</f>
        <v>0</v>
      </c>
      <c r="C24" s="14">
        <f t="shared" si="4"/>
        <v>0</v>
      </c>
      <c r="D24" s="14">
        <f t="shared" si="4"/>
        <v>0</v>
      </c>
      <c r="E24" s="14">
        <f t="shared" si="4"/>
        <v>63482.875999999997</v>
      </c>
      <c r="F24" s="14">
        <f t="shared" si="4"/>
        <v>0</v>
      </c>
      <c r="G24" s="14">
        <f t="shared" si="4"/>
        <v>0</v>
      </c>
      <c r="H24" s="14">
        <f t="shared" si="4"/>
        <v>60955.534</v>
      </c>
      <c r="I24" s="7">
        <f t="shared" si="4"/>
        <v>0</v>
      </c>
      <c r="J24" s="7">
        <f t="shared" si="4"/>
        <v>0</v>
      </c>
      <c r="K24" s="7">
        <f t="shared" si="4"/>
        <v>57000</v>
      </c>
      <c r="L24" s="7">
        <f t="shared" si="4"/>
        <v>0</v>
      </c>
      <c r="M24" s="7">
        <f>SUM(M20:M23)</f>
        <v>57000</v>
      </c>
      <c r="N24" s="7">
        <f>SUM(N20:N23)</f>
        <v>238438.41</v>
      </c>
      <c r="O24" s="2"/>
    </row>
    <row r="25" spans="1:15" x14ac:dyDescent="0.25">
      <c r="A25" s="2"/>
      <c r="B25" s="13"/>
      <c r="C25" s="13"/>
      <c r="D25" s="13"/>
      <c r="E25" s="8"/>
      <c r="F25" s="8"/>
      <c r="G25" s="13"/>
      <c r="H25" s="13"/>
      <c r="I25" s="8"/>
      <c r="J25" s="8"/>
      <c r="K25" s="8"/>
      <c r="L25" s="8"/>
      <c r="M25" s="8"/>
      <c r="N25" s="7"/>
      <c r="O25" s="1"/>
    </row>
    <row r="26" spans="1:15" x14ac:dyDescent="0.25">
      <c r="A26" s="2" t="s">
        <v>33</v>
      </c>
      <c r="B26" s="13"/>
      <c r="C26" s="13"/>
      <c r="D26" s="8"/>
      <c r="E26" s="8"/>
      <c r="F26" s="8"/>
      <c r="G26" s="8"/>
      <c r="H26" s="13"/>
      <c r="I26" s="8"/>
      <c r="J26" s="8"/>
      <c r="K26" s="8"/>
      <c r="L26" s="8"/>
      <c r="M26" s="8"/>
      <c r="N26" s="7"/>
      <c r="O26" s="1"/>
    </row>
    <row r="27" spans="1:15" x14ac:dyDescent="0.25">
      <c r="A27" s="1" t="s">
        <v>20</v>
      </c>
      <c r="B27" s="13">
        <f>198+186.3+194.4+198.9+180+793.8+(45*5)+522-1080</f>
        <v>1418.4</v>
      </c>
      <c r="C27" s="13">
        <v>1175.4000000000001</v>
      </c>
      <c r="D27" s="13">
        <v>23.4</v>
      </c>
      <c r="E27" s="13">
        <f>225+239.4+225+231.3</f>
        <v>920.7</v>
      </c>
      <c r="F27" s="13">
        <v>581.94000000000005</v>
      </c>
      <c r="G27" s="13">
        <v>557.1</v>
      </c>
      <c r="H27" s="13">
        <v>1611</v>
      </c>
      <c r="I27" s="8">
        <v>1250</v>
      </c>
      <c r="J27" s="8">
        <v>1250</v>
      </c>
      <c r="K27" s="8">
        <v>1250</v>
      </c>
      <c r="L27" s="8">
        <v>1250</v>
      </c>
      <c r="M27" s="8">
        <v>1250</v>
      </c>
      <c r="N27" s="7">
        <f t="shared" si="3"/>
        <v>12537.94</v>
      </c>
      <c r="O27" s="1"/>
    </row>
    <row r="28" spans="1:15" x14ac:dyDescent="0.25">
      <c r="A28" s="1" t="s">
        <v>29</v>
      </c>
      <c r="B28" s="13"/>
      <c r="C28" s="13"/>
      <c r="D28" s="13">
        <v>0</v>
      </c>
      <c r="E28" s="8"/>
      <c r="F28" s="13">
        <v>0</v>
      </c>
      <c r="G28" s="13">
        <v>0</v>
      </c>
      <c r="H28" s="13"/>
      <c r="I28" s="8">
        <v>1500</v>
      </c>
      <c r="J28" s="8"/>
      <c r="K28" s="8">
        <v>0</v>
      </c>
      <c r="L28" s="8">
        <v>1500</v>
      </c>
      <c r="M28" s="8"/>
      <c r="N28" s="7">
        <f t="shared" si="3"/>
        <v>3000</v>
      </c>
      <c r="O28" s="1"/>
    </row>
    <row r="29" spans="1:15" x14ac:dyDescent="0.25">
      <c r="A29" s="1" t="s">
        <v>26</v>
      </c>
      <c r="B29" s="13">
        <f>4776.32+3010.44-(45*5)-522</f>
        <v>7039.76</v>
      </c>
      <c r="C29" s="13">
        <v>7039.76</v>
      </c>
      <c r="D29" s="13">
        <v>7039.76</v>
      </c>
      <c r="E29" s="13">
        <f>4776.32+4282.48-1521</f>
        <v>7537.7999999999993</v>
      </c>
      <c r="F29" s="13">
        <f>4776.32+4147.05-891.38-117.72</f>
        <v>7914.2699999999986</v>
      </c>
      <c r="G29" s="13">
        <v>7914.27</v>
      </c>
      <c r="H29" s="13">
        <v>7914.27</v>
      </c>
      <c r="I29" s="8">
        <f t="shared" ref="I29:L29" si="5">(75000*1.28)/12</f>
        <v>8000</v>
      </c>
      <c r="J29" s="8">
        <f t="shared" si="5"/>
        <v>8000</v>
      </c>
      <c r="K29" s="8">
        <f t="shared" si="5"/>
        <v>8000</v>
      </c>
      <c r="L29" s="8">
        <f t="shared" si="5"/>
        <v>8000</v>
      </c>
      <c r="M29" s="8">
        <f>(75000*1.28)/12</f>
        <v>8000</v>
      </c>
      <c r="N29" s="7">
        <f t="shared" si="3"/>
        <v>92399.89</v>
      </c>
      <c r="O29" s="1"/>
    </row>
    <row r="30" spans="1:15" x14ac:dyDescent="0.25">
      <c r="A30" s="1" t="s">
        <v>14</v>
      </c>
      <c r="B30" s="13">
        <v>0</v>
      </c>
      <c r="C30" s="13">
        <v>0</v>
      </c>
      <c r="D30" s="13">
        <v>0</v>
      </c>
      <c r="E30" s="13">
        <f>43.58+40.49+17.1</f>
        <v>101.16999999999999</v>
      </c>
      <c r="F30" s="13">
        <v>50</v>
      </c>
      <c r="G30" s="13">
        <v>50</v>
      </c>
      <c r="H30" s="13">
        <v>50</v>
      </c>
      <c r="I30" s="8">
        <v>75</v>
      </c>
      <c r="J30" s="8">
        <v>75</v>
      </c>
      <c r="K30" s="8">
        <v>75</v>
      </c>
      <c r="L30" s="8">
        <v>75</v>
      </c>
      <c r="M30" s="8">
        <v>75</v>
      </c>
      <c r="N30" s="7">
        <f t="shared" si="3"/>
        <v>626.16999999999996</v>
      </c>
      <c r="O30" s="1"/>
    </row>
    <row r="31" spans="1:15" x14ac:dyDescent="0.25">
      <c r="A31" s="1" t="s">
        <v>55</v>
      </c>
      <c r="B31" s="13">
        <v>0</v>
      </c>
      <c r="C31" s="13">
        <v>0</v>
      </c>
      <c r="D31" s="13">
        <v>1300</v>
      </c>
      <c r="E31" s="13">
        <v>0</v>
      </c>
      <c r="F31" s="13">
        <v>0</v>
      </c>
      <c r="G31" s="13">
        <v>1300</v>
      </c>
      <c r="H31" s="13">
        <v>0</v>
      </c>
      <c r="I31" s="8">
        <f>1300/3*2</f>
        <v>866.66666666666663</v>
      </c>
      <c r="J31" s="8">
        <f t="shared" ref="J31:M31" si="6">1300/3</f>
        <v>433.33333333333331</v>
      </c>
      <c r="K31" s="8">
        <f t="shared" si="6"/>
        <v>433.33333333333331</v>
      </c>
      <c r="L31" s="8">
        <f t="shared" si="6"/>
        <v>433.33333333333331</v>
      </c>
      <c r="M31" s="8">
        <f t="shared" si="6"/>
        <v>433.33333333333331</v>
      </c>
      <c r="N31" s="7">
        <f t="shared" si="3"/>
        <v>5199.9999999999991</v>
      </c>
      <c r="O31" s="1"/>
    </row>
    <row r="32" spans="1:15" x14ac:dyDescent="0.25">
      <c r="A32" s="1" t="s">
        <v>15</v>
      </c>
      <c r="B32" s="13">
        <v>650</v>
      </c>
      <c r="C32" s="13">
        <v>505.4</v>
      </c>
      <c r="D32" s="13">
        <v>652.5</v>
      </c>
      <c r="E32" s="13">
        <v>425</v>
      </c>
      <c r="F32" s="13">
        <v>375</v>
      </c>
      <c r="G32" s="13">
        <v>325</v>
      </c>
      <c r="H32" s="13">
        <v>775</v>
      </c>
      <c r="I32" s="8">
        <v>700</v>
      </c>
      <c r="J32" s="8">
        <v>700</v>
      </c>
      <c r="K32" s="8">
        <v>700</v>
      </c>
      <c r="L32" s="8">
        <v>700</v>
      </c>
      <c r="M32" s="8">
        <v>700</v>
      </c>
      <c r="N32" s="7">
        <f t="shared" si="3"/>
        <v>7207.9</v>
      </c>
      <c r="O32" s="1"/>
    </row>
    <row r="33" spans="1:15" x14ac:dyDescent="0.25">
      <c r="A33" s="1" t="s">
        <v>25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8">
        <v>15</v>
      </c>
      <c r="J33" s="8">
        <v>15</v>
      </c>
      <c r="K33" s="8">
        <v>15</v>
      </c>
      <c r="L33" s="8">
        <v>15</v>
      </c>
      <c r="M33" s="8">
        <v>15</v>
      </c>
      <c r="N33" s="7">
        <f t="shared" si="3"/>
        <v>75</v>
      </c>
      <c r="O33" s="1"/>
    </row>
    <row r="34" spans="1:15" x14ac:dyDescent="0.25">
      <c r="A34" s="1" t="s">
        <v>41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3024</v>
      </c>
      <c r="H34" s="13">
        <v>0</v>
      </c>
      <c r="I34" s="8">
        <f>420*1.2*2</f>
        <v>1008</v>
      </c>
      <c r="J34" s="8">
        <f t="shared" ref="J34:M34" si="7">420*1.2</f>
        <v>504</v>
      </c>
      <c r="K34" s="8">
        <f t="shared" si="7"/>
        <v>504</v>
      </c>
      <c r="L34" s="8">
        <f t="shared" si="7"/>
        <v>504</v>
      </c>
      <c r="M34" s="8">
        <f t="shared" si="7"/>
        <v>504</v>
      </c>
      <c r="N34" s="7">
        <f t="shared" si="3"/>
        <v>6048</v>
      </c>
      <c r="O34" s="1" t="s">
        <v>54</v>
      </c>
    </row>
    <row r="35" spans="1:15" x14ac:dyDescent="0.25">
      <c r="A35" s="1" t="s">
        <v>50</v>
      </c>
      <c r="B35" s="13">
        <v>1080</v>
      </c>
      <c r="C35" s="13">
        <v>2520</v>
      </c>
      <c r="D35" s="13">
        <f t="shared" ref="D35:M35" si="8">90*4*4</f>
        <v>1440</v>
      </c>
      <c r="E35" s="13">
        <f>3515.4-1040-225</f>
        <v>2250.4</v>
      </c>
      <c r="F35" s="13">
        <f>1045.03+891.38+117.72</f>
        <v>2054.1299999999997</v>
      </c>
      <c r="G35" s="13">
        <f t="shared" si="8"/>
        <v>1440</v>
      </c>
      <c r="H35" s="13">
        <f t="shared" si="8"/>
        <v>1440</v>
      </c>
      <c r="I35" s="8">
        <f t="shared" si="8"/>
        <v>1440</v>
      </c>
      <c r="J35" s="8">
        <f t="shared" si="8"/>
        <v>1440</v>
      </c>
      <c r="K35" s="8">
        <f t="shared" si="8"/>
        <v>1440</v>
      </c>
      <c r="L35" s="8">
        <f t="shared" si="8"/>
        <v>1440</v>
      </c>
      <c r="M35" s="8">
        <f t="shared" si="8"/>
        <v>1440</v>
      </c>
      <c r="N35" s="7">
        <f t="shared" si="3"/>
        <v>19424.53</v>
      </c>
      <c r="O35" s="1"/>
    </row>
    <row r="36" spans="1:15" x14ac:dyDescent="0.25">
      <c r="A36" s="1" t="s">
        <v>40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f t="shared" si="3"/>
        <v>0</v>
      </c>
      <c r="O36" s="1"/>
    </row>
    <row r="37" spans="1:15" x14ac:dyDescent="0.25">
      <c r="A37" s="1" t="s">
        <v>22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300</v>
      </c>
      <c r="H37" s="13">
        <v>0</v>
      </c>
      <c r="I37" s="8">
        <v>50</v>
      </c>
      <c r="J37" s="8">
        <v>50</v>
      </c>
      <c r="K37" s="8">
        <v>50</v>
      </c>
      <c r="L37" s="8">
        <v>50</v>
      </c>
      <c r="M37" s="8">
        <v>50</v>
      </c>
      <c r="N37" s="7">
        <f t="shared" si="3"/>
        <v>550</v>
      </c>
      <c r="O37" s="1"/>
    </row>
    <row r="38" spans="1:15" x14ac:dyDescent="0.25">
      <c r="A38" s="1" t="s">
        <v>56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5">
        <v>714</v>
      </c>
      <c r="I38" s="8">
        <v>0</v>
      </c>
      <c r="J38" s="8">
        <v>0</v>
      </c>
      <c r="K38" s="8">
        <v>0</v>
      </c>
      <c r="L38" s="8">
        <v>0</v>
      </c>
      <c r="M38" s="8">
        <v>3000</v>
      </c>
      <c r="N38" s="7">
        <f t="shared" si="3"/>
        <v>3714</v>
      </c>
      <c r="O38" s="1"/>
    </row>
    <row r="39" spans="1:15" x14ac:dyDescent="0.25">
      <c r="A39" s="1" t="s">
        <v>16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f>996.94</f>
        <v>996.94</v>
      </c>
      <c r="H39" s="13">
        <v>0</v>
      </c>
      <c r="I39" s="8">
        <f>5000/12*8</f>
        <v>3333.3333333333335</v>
      </c>
      <c r="J39" s="8">
        <f t="shared" ref="J39:M39" si="9">5000/12</f>
        <v>416.66666666666669</v>
      </c>
      <c r="K39" s="8">
        <f t="shared" si="9"/>
        <v>416.66666666666669</v>
      </c>
      <c r="L39" s="8">
        <f t="shared" si="9"/>
        <v>416.66666666666669</v>
      </c>
      <c r="M39" s="8">
        <f t="shared" si="9"/>
        <v>416.66666666666669</v>
      </c>
      <c r="N39" s="7">
        <f t="shared" si="3"/>
        <v>5996.9400000000014</v>
      </c>
      <c r="O39" s="1" t="s">
        <v>46</v>
      </c>
    </row>
    <row r="40" spans="1:15" x14ac:dyDescent="0.25">
      <c r="A40" s="1" t="s">
        <v>23</v>
      </c>
      <c r="B40" s="13">
        <v>0</v>
      </c>
      <c r="C40" s="13">
        <v>0</v>
      </c>
      <c r="D40" s="13">
        <v>0</v>
      </c>
      <c r="E40" s="13">
        <v>108</v>
      </c>
      <c r="F40" s="13">
        <v>0</v>
      </c>
      <c r="G40" s="13">
        <v>0</v>
      </c>
      <c r="H40" s="13">
        <v>108</v>
      </c>
      <c r="I40" s="8">
        <v>60</v>
      </c>
      <c r="J40" s="8">
        <v>60</v>
      </c>
      <c r="K40" s="8">
        <v>60</v>
      </c>
      <c r="L40" s="8">
        <v>60</v>
      </c>
      <c r="M40" s="8">
        <v>60</v>
      </c>
      <c r="N40" s="7">
        <f t="shared" si="3"/>
        <v>516</v>
      </c>
      <c r="O40" s="1"/>
    </row>
    <row r="41" spans="1:15" x14ac:dyDescent="0.25">
      <c r="A41" s="1" t="s">
        <v>17</v>
      </c>
      <c r="B41" s="13"/>
      <c r="C41" s="13"/>
      <c r="D41" s="13">
        <v>0</v>
      </c>
      <c r="E41" s="13">
        <v>0</v>
      </c>
      <c r="F41" s="13">
        <v>0</v>
      </c>
      <c r="G41" s="13">
        <v>0</v>
      </c>
      <c r="H41" s="13"/>
      <c r="I41" s="8">
        <v>1000</v>
      </c>
      <c r="J41" s="8"/>
      <c r="K41" s="8">
        <v>1000</v>
      </c>
      <c r="L41" s="8"/>
      <c r="M41" s="8">
        <v>1000</v>
      </c>
      <c r="N41" s="7">
        <f t="shared" si="3"/>
        <v>3000</v>
      </c>
      <c r="O41" s="1"/>
    </row>
    <row r="42" spans="1:15" x14ac:dyDescent="0.25">
      <c r="A42" s="1" t="s">
        <v>21</v>
      </c>
      <c r="B42" s="13">
        <v>0</v>
      </c>
      <c r="C42" s="13">
        <v>0</v>
      </c>
      <c r="D42" s="13">
        <v>40</v>
      </c>
      <c r="E42" s="13">
        <v>0</v>
      </c>
      <c r="F42" s="13">
        <v>0</v>
      </c>
      <c r="G42" s="13">
        <v>0</v>
      </c>
      <c r="H42" s="13">
        <v>0</v>
      </c>
      <c r="I42" s="8">
        <v>70</v>
      </c>
      <c r="J42" s="8">
        <v>70</v>
      </c>
      <c r="K42" s="8">
        <v>70</v>
      </c>
      <c r="L42" s="8">
        <v>70</v>
      </c>
      <c r="M42" s="8">
        <v>70</v>
      </c>
      <c r="N42" s="7">
        <f t="shared" si="3"/>
        <v>390</v>
      </c>
      <c r="O42" s="1"/>
    </row>
    <row r="43" spans="1:15" x14ac:dyDescent="0.25">
      <c r="A43" s="1" t="s">
        <v>52</v>
      </c>
      <c r="B43" s="13">
        <v>10</v>
      </c>
      <c r="C43" s="13">
        <v>10</v>
      </c>
      <c r="D43" s="13">
        <v>11.5</v>
      </c>
      <c r="E43" s="13">
        <v>12.1</v>
      </c>
      <c r="F43" s="13">
        <v>12.1</v>
      </c>
      <c r="G43" s="13">
        <v>10</v>
      </c>
      <c r="H43" s="13">
        <v>12.75</v>
      </c>
      <c r="I43" s="8">
        <v>10</v>
      </c>
      <c r="J43" s="8">
        <v>10</v>
      </c>
      <c r="K43" s="8">
        <v>10</v>
      </c>
      <c r="L43" s="8">
        <v>10</v>
      </c>
      <c r="M43" s="8">
        <v>10</v>
      </c>
      <c r="N43" s="7">
        <f t="shared" si="3"/>
        <v>128.44999999999999</v>
      </c>
      <c r="O43" s="1"/>
    </row>
    <row r="44" spans="1:15" x14ac:dyDescent="0.25">
      <c r="A44" s="1" t="s">
        <v>27</v>
      </c>
      <c r="B44" s="13"/>
      <c r="C44" s="13"/>
      <c r="D44" s="13">
        <v>0</v>
      </c>
      <c r="E44" s="13">
        <v>0</v>
      </c>
      <c r="F44" s="13">
        <v>111.71</v>
      </c>
      <c r="G44" s="13">
        <v>0</v>
      </c>
      <c r="H44" s="13"/>
      <c r="I44" s="8">
        <v>700</v>
      </c>
      <c r="J44" s="8">
        <v>0</v>
      </c>
      <c r="K44" s="8">
        <v>0</v>
      </c>
      <c r="L44" s="8">
        <v>0</v>
      </c>
      <c r="M44" s="8">
        <v>0</v>
      </c>
      <c r="N44" s="7">
        <f t="shared" si="3"/>
        <v>811.71</v>
      </c>
      <c r="O44" s="1"/>
    </row>
    <row r="45" spans="1:15" x14ac:dyDescent="0.25">
      <c r="A45" s="1" t="s">
        <v>28</v>
      </c>
      <c r="B45" s="13"/>
      <c r="C45" s="13"/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8">
        <v>2000</v>
      </c>
      <c r="J45" s="8">
        <v>0</v>
      </c>
      <c r="K45" s="8">
        <v>0</v>
      </c>
      <c r="L45" s="8">
        <v>0</v>
      </c>
      <c r="M45" s="8">
        <v>0</v>
      </c>
      <c r="N45" s="7">
        <f t="shared" si="3"/>
        <v>2000</v>
      </c>
      <c r="O45" s="1"/>
    </row>
    <row r="46" spans="1:15" x14ac:dyDescent="0.25">
      <c r="A46" s="1" t="s">
        <v>47</v>
      </c>
      <c r="B46" s="13"/>
      <c r="C46" s="13"/>
      <c r="D46" s="8"/>
      <c r="E46" s="8"/>
      <c r="F46" s="8"/>
      <c r="G46" s="8"/>
      <c r="H46" s="13"/>
      <c r="I46" s="8"/>
      <c r="J46" s="8"/>
      <c r="K46" s="8"/>
      <c r="L46" s="8"/>
      <c r="M46" s="8">
        <v>4000</v>
      </c>
      <c r="N46" s="7">
        <f t="shared" si="3"/>
        <v>4000</v>
      </c>
      <c r="O46" s="1"/>
    </row>
    <row r="47" spans="1:15" s="5" customFormat="1" x14ac:dyDescent="0.25">
      <c r="A47" s="2" t="s">
        <v>37</v>
      </c>
      <c r="B47" s="14">
        <f t="shared" ref="B47:I47" si="10">SUM(B27:B45)</f>
        <v>10198.16</v>
      </c>
      <c r="C47" s="14">
        <f t="shared" si="10"/>
        <v>11250.56</v>
      </c>
      <c r="D47" s="14">
        <f t="shared" si="10"/>
        <v>10507.16</v>
      </c>
      <c r="E47" s="14">
        <f t="shared" si="10"/>
        <v>11355.17</v>
      </c>
      <c r="F47" s="14">
        <f t="shared" si="10"/>
        <v>11099.149999999998</v>
      </c>
      <c r="G47" s="14">
        <f t="shared" si="10"/>
        <v>15917.310000000001</v>
      </c>
      <c r="H47" s="14">
        <f t="shared" si="10"/>
        <v>12625.02</v>
      </c>
      <c r="I47" s="7">
        <f t="shared" si="10"/>
        <v>22078</v>
      </c>
      <c r="J47" s="7">
        <f>SUM(J27:J46)</f>
        <v>13024</v>
      </c>
      <c r="K47" s="7">
        <f>SUM(K27:K45)</f>
        <v>14024</v>
      </c>
      <c r="L47" s="7">
        <f>SUM(L27:L45)</f>
        <v>14524</v>
      </c>
      <c r="M47" s="7">
        <f>SUM(M27:M46)</f>
        <v>21024</v>
      </c>
      <c r="N47" s="7">
        <f>SUM(N27:N46)</f>
        <v>167626.53</v>
      </c>
      <c r="O47" s="2"/>
    </row>
    <row r="48" spans="1:15" x14ac:dyDescent="0.25">
      <c r="A48" s="1"/>
      <c r="B48" s="13"/>
      <c r="C48" s="13"/>
      <c r="D48" s="13"/>
      <c r="E48" s="13"/>
      <c r="F48" s="13"/>
      <c r="G48" s="13"/>
      <c r="H48" s="13"/>
      <c r="I48" s="8"/>
      <c r="J48" s="8"/>
      <c r="K48" s="8"/>
      <c r="L48" s="8"/>
      <c r="M48" s="8"/>
      <c r="N48" s="7">
        <f t="shared" si="3"/>
        <v>0</v>
      </c>
      <c r="O48" s="1"/>
    </row>
    <row r="49" spans="1:15" x14ac:dyDescent="0.25">
      <c r="A49" s="2" t="s">
        <v>18</v>
      </c>
      <c r="B49" s="14">
        <f t="shared" ref="B49:N49" si="11">B47+B24</f>
        <v>10198.16</v>
      </c>
      <c r="C49" s="14">
        <f t="shared" si="11"/>
        <v>11250.56</v>
      </c>
      <c r="D49" s="14">
        <f t="shared" si="11"/>
        <v>10507.16</v>
      </c>
      <c r="E49" s="14">
        <f t="shared" si="11"/>
        <v>74838.046000000002</v>
      </c>
      <c r="F49" s="14">
        <f t="shared" si="11"/>
        <v>11099.149999999998</v>
      </c>
      <c r="G49" s="14">
        <f t="shared" si="11"/>
        <v>15917.310000000001</v>
      </c>
      <c r="H49" s="14">
        <f t="shared" si="11"/>
        <v>73580.554000000004</v>
      </c>
      <c r="I49" s="7">
        <f t="shared" si="11"/>
        <v>22078</v>
      </c>
      <c r="J49" s="7">
        <f t="shared" si="11"/>
        <v>13024</v>
      </c>
      <c r="K49" s="7">
        <f t="shared" si="11"/>
        <v>71024</v>
      </c>
      <c r="L49" s="7">
        <f t="shared" si="11"/>
        <v>14524</v>
      </c>
      <c r="M49" s="7">
        <f t="shared" si="11"/>
        <v>78024</v>
      </c>
      <c r="N49" s="7">
        <f t="shared" si="11"/>
        <v>406064.94</v>
      </c>
      <c r="O49" s="1"/>
    </row>
    <row r="50" spans="1:15" x14ac:dyDescent="0.25">
      <c r="A50" s="2"/>
      <c r="B50" s="14"/>
      <c r="C50" s="14"/>
      <c r="D50" s="14"/>
      <c r="E50" s="14"/>
      <c r="F50" s="14"/>
      <c r="G50" s="14"/>
      <c r="H50" s="14"/>
      <c r="I50" s="7"/>
      <c r="J50" s="7"/>
      <c r="K50" s="7"/>
      <c r="L50" s="7"/>
      <c r="M50" s="7"/>
      <c r="N50" s="7"/>
      <c r="O50" s="1"/>
    </row>
    <row r="51" spans="1:15" x14ac:dyDescent="0.25">
      <c r="A51" s="2" t="s">
        <v>19</v>
      </c>
      <c r="B51" s="14">
        <f t="shared" ref="B51:N51" si="12">B15-B49</f>
        <v>-8809.84</v>
      </c>
      <c r="C51" s="14">
        <f t="shared" si="12"/>
        <v>31318.440000000002</v>
      </c>
      <c r="D51" s="14">
        <f t="shared" si="12"/>
        <v>-9417.56</v>
      </c>
      <c r="E51" s="14">
        <f t="shared" si="12"/>
        <v>-7612.8059999999969</v>
      </c>
      <c r="F51" s="14">
        <f t="shared" si="12"/>
        <v>58647.850000000006</v>
      </c>
      <c r="G51" s="14">
        <f t="shared" si="12"/>
        <v>-15917.310000000001</v>
      </c>
      <c r="H51" s="14">
        <f t="shared" si="12"/>
        <v>29581.165999999997</v>
      </c>
      <c r="I51" s="7">
        <f t="shared" si="12"/>
        <v>-12078</v>
      </c>
      <c r="J51" s="7">
        <f t="shared" si="12"/>
        <v>-13024</v>
      </c>
      <c r="K51" s="7">
        <f t="shared" si="12"/>
        <v>2498</v>
      </c>
      <c r="L51" s="7">
        <f t="shared" si="12"/>
        <v>-14524</v>
      </c>
      <c r="M51" s="7">
        <f t="shared" si="12"/>
        <v>-4174</v>
      </c>
      <c r="N51" s="7">
        <f t="shared" si="12"/>
        <v>36487.94</v>
      </c>
      <c r="O51" s="1"/>
    </row>
    <row r="52" spans="1:15" x14ac:dyDescent="0.25">
      <c r="D52" s="10"/>
      <c r="E52" s="10"/>
      <c r="F52" s="10"/>
      <c r="G52" s="10"/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300" verticalDpi="300" r:id="rId1"/>
  <headerFooter>
    <oddHeader>&amp;CELR GP Federation Budget Forecast - FY18/19&amp;R&amp;"-,Bold"&amp;22DRAFT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Watkins</dc:creator>
  <cp:lastModifiedBy>Watkins James</cp:lastModifiedBy>
  <cp:lastPrinted>2018-02-22T18:28:59Z</cp:lastPrinted>
  <dcterms:created xsi:type="dcterms:W3CDTF">2016-09-19T09:32:11Z</dcterms:created>
  <dcterms:modified xsi:type="dcterms:W3CDTF">2018-11-21T08:42:46Z</dcterms:modified>
</cp:coreProperties>
</file>